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15.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14.xml" ContentType="application/vnd.openxmlformats-officedocument.drawing+xml"/>
  <Override PartName="/xl/drawings/drawing13.xml" ContentType="application/vnd.openxmlformats-officedocument.drawing+xml"/>
  <Override PartName="/xl/drawings/drawing12.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7.xml" ContentType="application/vnd.openxmlformats-officedocument.drawing+xml"/>
  <Override PartName="/xl/worksheets/sheet1.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2.xml" ContentType="application/vnd.openxmlformats-officedocument.drawing+xml"/>
  <Override PartName="/xl/theme/theme1.xml" ContentType="application/vnd.openxmlformats-officedocument.theme+xml"/>
  <Override PartName="/xl/drawings/drawing1.xml" ContentType="application/vnd.openxmlformats-officedocument.drawing+xml"/>
  <Override PartName="/xl/worksheets/sheet16.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60" yWindow="315" windowWidth="11385" windowHeight="6090" tabRatio="732" activeTab="9"/>
  </bookViews>
  <sheets>
    <sheet name="Biểu 01" sheetId="87" r:id="rId1"/>
    <sheet name="Biểu 02" sheetId="1" r:id="rId2"/>
    <sheet name="Bieu 03" sheetId="60" r:id="rId3"/>
    <sheet name="Thu 2019 được hưởng" sheetId="74" state="hidden" r:id="rId4"/>
    <sheet name="DTthu2020" sheetId="2" state="hidden" r:id="rId5"/>
    <sheet name="Biểu 04" sheetId="20" r:id="rId6"/>
    <sheet name="Biểu 05" sheetId="6" r:id="rId7"/>
    <sheet name="Biểu 06" sheetId="84" r:id="rId8"/>
    <sheet name="Biểu 07" sheetId="85" r:id="rId9"/>
    <sheet name="Biểu 08" sheetId="86" r:id="rId10"/>
    <sheet name="TH chi xa 2020" sheetId="17" state="hidden" r:id="rId11"/>
    <sheet name="Thu phương xa 2020" sheetId="61" state="hidden" r:id="rId12"/>
    <sheet name="Thu phường, xã 2019" sheetId="76" state="hidden" r:id="rId13"/>
    <sheet name="Số thu phường, xã đến T10-2019" sheetId="70" state="hidden" r:id="rId14"/>
    <sheet name="DT chi xã 2020" sheetId="83" state="hidden" r:id="rId15"/>
    <sheet name="DT chi xã 2019" sheetId="63" state="hidden" r:id="rId16"/>
    <sheet name="Bieu 30" sheetId="26" state="hidden" r:id="rId17"/>
    <sheet name="DTĐV 2020" sheetId="82" state="hidden" r:id="rId18"/>
    <sheet name="DTĐV 2019" sheetId="75" state="hidden" r:id="rId19"/>
    <sheet name="DG UTH chixa" sheetId="29" state="hidden" r:id="rId20"/>
    <sheet name="CAN TRO CAP" sheetId="33" state="hidden" r:id="rId21"/>
    <sheet name="Chi xa" sheetId="30" state="hidden" r:id="rId22"/>
    <sheet name="Sheet7" sheetId="68" state="hidden" r:id="rId23"/>
  </sheets>
  <externalReferences>
    <externalReference r:id="rId24"/>
  </externalReferences>
  <definedNames>
    <definedName name="_xlnm.Print_Titles" localSheetId="5">'Biểu 04'!$7:$8</definedName>
    <definedName name="_xlnm.Print_Titles" localSheetId="4">DTthu2020!$7:$8</definedName>
  </definedNames>
  <calcPr calcId="124519"/>
</workbook>
</file>

<file path=xl/calcChain.xml><?xml version="1.0" encoding="utf-8"?>
<calcChain xmlns="http://schemas.openxmlformats.org/spreadsheetml/2006/main">
  <c r="K25" i="60"/>
  <c r="K8" s="1"/>
  <c r="D35" i="20"/>
  <c r="E33"/>
  <c r="D33"/>
  <c r="D19"/>
  <c r="D16"/>
  <c r="D15"/>
  <c r="D14"/>
  <c r="D13"/>
  <c r="D17" i="86"/>
  <c r="D13"/>
  <c r="D14"/>
  <c r="D15"/>
  <c r="D16"/>
  <c r="D12"/>
  <c r="C11"/>
  <c r="F17"/>
  <c r="F16"/>
  <c r="F15"/>
  <c r="F14"/>
  <c r="F13"/>
  <c r="F12"/>
  <c r="E17"/>
  <c r="E16"/>
  <c r="E15"/>
  <c r="E14"/>
  <c r="E13"/>
  <c r="E12" i="87"/>
  <c r="E14" i="1"/>
  <c r="E28"/>
  <c r="F11" i="86" l="1"/>
  <c r="E11" l="1"/>
  <c r="C10" i="85"/>
  <c r="I8" i="84"/>
  <c r="I10"/>
  <c r="H10"/>
  <c r="H8"/>
  <c r="E8"/>
  <c r="E10"/>
  <c r="G10"/>
  <c r="F10"/>
  <c r="C90"/>
  <c r="C94"/>
  <c r="C98"/>
  <c r="C102"/>
  <c r="C59"/>
  <c r="C60"/>
  <c r="C61"/>
  <c r="C62"/>
  <c r="C63"/>
  <c r="C64"/>
  <c r="C65"/>
  <c r="C66"/>
  <c r="C67"/>
  <c r="C68"/>
  <c r="C69"/>
  <c r="C70"/>
  <c r="C71"/>
  <c r="C72"/>
  <c r="C73"/>
  <c r="C74"/>
  <c r="E109"/>
  <c r="C109" s="1"/>
  <c r="E13"/>
  <c r="E14"/>
  <c r="E15"/>
  <c r="E16"/>
  <c r="E17"/>
  <c r="E18"/>
  <c r="E19"/>
  <c r="E20"/>
  <c r="E21"/>
  <c r="E22"/>
  <c r="E23"/>
  <c r="E24"/>
  <c r="E25"/>
  <c r="E26"/>
  <c r="E27"/>
  <c r="E28"/>
  <c r="E29"/>
  <c r="E30"/>
  <c r="E31"/>
  <c r="E32"/>
  <c r="E33"/>
  <c r="E34"/>
  <c r="E35"/>
  <c r="E36"/>
  <c r="E37"/>
  <c r="E116"/>
  <c r="C116" s="1"/>
  <c r="E113"/>
  <c r="E114"/>
  <c r="E115"/>
  <c r="E112"/>
  <c r="F106"/>
  <c r="G106"/>
  <c r="E108"/>
  <c r="E106" s="1"/>
  <c r="E107"/>
  <c r="E89"/>
  <c r="C89" s="1"/>
  <c r="E90"/>
  <c r="E91"/>
  <c r="C91" s="1"/>
  <c r="E92"/>
  <c r="C92" s="1"/>
  <c r="E93"/>
  <c r="C93" s="1"/>
  <c r="E94"/>
  <c r="E95"/>
  <c r="C95" s="1"/>
  <c r="E96"/>
  <c r="C96" s="1"/>
  <c r="E97"/>
  <c r="C97" s="1"/>
  <c r="E98"/>
  <c r="E99"/>
  <c r="C99" s="1"/>
  <c r="E100"/>
  <c r="C100" s="1"/>
  <c r="E101"/>
  <c r="C101" s="1"/>
  <c r="E102"/>
  <c r="E103"/>
  <c r="C103" s="1"/>
  <c r="E104"/>
  <c r="C104" s="1"/>
  <c r="E105"/>
  <c r="C105" s="1"/>
  <c r="E87"/>
  <c r="C87" s="1"/>
  <c r="E88"/>
  <c r="C88" s="1"/>
  <c r="E86"/>
  <c r="F85"/>
  <c r="F82"/>
  <c r="E82"/>
  <c r="E84"/>
  <c r="E83"/>
  <c r="F79"/>
  <c r="E79"/>
  <c r="E81"/>
  <c r="C81" s="1"/>
  <c r="E80"/>
  <c r="F58"/>
  <c r="F57" s="1"/>
  <c r="F55" s="1"/>
  <c r="G55"/>
  <c r="E56"/>
  <c r="E53"/>
  <c r="E54"/>
  <c r="E52"/>
  <c r="F51"/>
  <c r="F38"/>
  <c r="G38"/>
  <c r="E40"/>
  <c r="E41"/>
  <c r="E42"/>
  <c r="E43"/>
  <c r="E44"/>
  <c r="E45"/>
  <c r="E46"/>
  <c r="E47"/>
  <c r="E48"/>
  <c r="E49"/>
  <c r="E50"/>
  <c r="E39"/>
  <c r="F11"/>
  <c r="G11"/>
  <c r="E12"/>
  <c r="E11" l="1"/>
  <c r="E85"/>
  <c r="E51"/>
  <c r="E38"/>
  <c r="C84" l="1"/>
  <c r="C78"/>
  <c r="E58"/>
  <c r="E57" s="1"/>
  <c r="E55" s="1"/>
  <c r="C37"/>
  <c r="C36"/>
  <c r="C11" i="6"/>
  <c r="C21"/>
  <c r="C36"/>
  <c r="C34"/>
  <c r="C29"/>
  <c r="C23"/>
  <c r="C20"/>
  <c r="C17"/>
  <c r="C16"/>
  <c r="C15"/>
  <c r="C14"/>
  <c r="A28"/>
  <c r="A29" s="1"/>
  <c r="A32" s="1"/>
  <c r="A33" s="1"/>
  <c r="A34" s="1"/>
  <c r="A35" s="1"/>
  <c r="A36" s="1"/>
  <c r="A23"/>
  <c r="A26" s="1"/>
  <c r="A15"/>
  <c r="C37" i="20"/>
  <c r="C36"/>
  <c r="C35"/>
  <c r="C34"/>
  <c r="C33"/>
  <c r="C32"/>
  <c r="C31"/>
  <c r="C30"/>
  <c r="C29"/>
  <c r="E28"/>
  <c r="E20" s="1"/>
  <c r="D28"/>
  <c r="A28"/>
  <c r="A31" s="1"/>
  <c r="A32" s="1"/>
  <c r="A33" s="1"/>
  <c r="A34" s="1"/>
  <c r="A35" s="1"/>
  <c r="C27"/>
  <c r="A27"/>
  <c r="C26"/>
  <c r="C25"/>
  <c r="A25"/>
  <c r="C24"/>
  <c r="C23"/>
  <c r="D22"/>
  <c r="C22" s="1"/>
  <c r="A22"/>
  <c r="C21"/>
  <c r="C19"/>
  <c r="C18"/>
  <c r="C17"/>
  <c r="C16"/>
  <c r="C15"/>
  <c r="C14"/>
  <c r="A14"/>
  <c r="C13"/>
  <c r="E11"/>
  <c r="D11"/>
  <c r="C24" i="60"/>
  <c r="C22"/>
  <c r="C29"/>
  <c r="C25"/>
  <c r="C28" i="20" l="1"/>
  <c r="E9"/>
  <c r="C11"/>
  <c r="C10" i="84"/>
  <c r="C12" i="6"/>
  <c r="D20" i="20"/>
  <c r="C20" l="1"/>
  <c r="D9"/>
  <c r="C9" s="1"/>
  <c r="C21" i="60" l="1"/>
  <c r="C20"/>
  <c r="C19"/>
  <c r="C18"/>
  <c r="C17"/>
  <c r="C16"/>
  <c r="C15"/>
  <c r="K12"/>
  <c r="L12"/>
  <c r="M12"/>
  <c r="J12"/>
  <c r="C14"/>
  <c r="C13"/>
  <c r="C11"/>
  <c r="E21" i="1"/>
  <c r="E16"/>
  <c r="E12"/>
  <c r="E11" s="1"/>
  <c r="E18" i="87"/>
  <c r="E19"/>
  <c r="E11"/>
  <c r="E10" s="1"/>
  <c r="D17"/>
  <c r="D15" s="1"/>
  <c r="E15"/>
  <c r="C13"/>
  <c r="C12"/>
  <c r="D11"/>
  <c r="B58" i="74"/>
  <c r="G11" i="86"/>
  <c r="H11"/>
  <c r="I11"/>
  <c r="J11"/>
  <c r="S39" i="61"/>
  <c r="T39"/>
  <c r="U39"/>
  <c r="M39"/>
  <c r="N39"/>
  <c r="O39"/>
  <c r="I39"/>
  <c r="R39"/>
  <c r="L39"/>
  <c r="D11" i="86"/>
  <c r="F39" i="61"/>
  <c r="C52" i="84"/>
  <c r="C53"/>
  <c r="C54"/>
  <c r="C56"/>
  <c r="C75"/>
  <c r="C76"/>
  <c r="C77"/>
  <c r="C80"/>
  <c r="C83"/>
  <c r="C86"/>
  <c r="C107"/>
  <c r="C108"/>
  <c r="C110"/>
  <c r="C111"/>
  <c r="C112"/>
  <c r="C113"/>
  <c r="C114"/>
  <c r="C115"/>
  <c r="C117"/>
  <c r="C39"/>
  <c r="C40"/>
  <c r="C41"/>
  <c r="C42"/>
  <c r="C43"/>
  <c r="C44"/>
  <c r="C45"/>
  <c r="C46"/>
  <c r="C47"/>
  <c r="C48"/>
  <c r="C49"/>
  <c r="C50"/>
  <c r="C38"/>
  <c r="C11"/>
  <c r="D8"/>
  <c r="C9"/>
  <c r="C51"/>
  <c r="C12"/>
  <c r="C13"/>
  <c r="C14"/>
  <c r="C15"/>
  <c r="C16"/>
  <c r="C17"/>
  <c r="C18"/>
  <c r="C19"/>
  <c r="C20"/>
  <c r="C21"/>
  <c r="C22"/>
  <c r="C23"/>
  <c r="C24"/>
  <c r="C25"/>
  <c r="C26"/>
  <c r="C27"/>
  <c r="C28"/>
  <c r="C29"/>
  <c r="C30"/>
  <c r="C31"/>
  <c r="C32"/>
  <c r="C33"/>
  <c r="C34"/>
  <c r="C35"/>
  <c r="C85"/>
  <c r="C82"/>
  <c r="C58"/>
  <c r="C106"/>
  <c r="C79"/>
  <c r="C9" i="6"/>
  <c r="V46" i="61"/>
  <c r="T98" i="83"/>
  <c r="H98"/>
  <c r="Q98"/>
  <c r="N98"/>
  <c r="K98"/>
  <c r="E97"/>
  <c r="E98"/>
  <c r="D16" i="1"/>
  <c r="D30"/>
  <c r="I15" i="29"/>
  <c r="L9"/>
  <c r="D15"/>
  <c r="J13"/>
  <c r="J15"/>
  <c r="E15"/>
  <c r="G15" i="33"/>
  <c r="H15"/>
  <c r="N143" i="26"/>
  <c r="C55" i="84" l="1"/>
  <c r="C12" i="60"/>
  <c r="C11" i="87"/>
  <c r="M121" i="26"/>
  <c r="N121"/>
  <c r="O121"/>
  <c r="P121"/>
  <c r="Q121"/>
  <c r="R121"/>
  <c r="V121"/>
  <c r="K122"/>
  <c r="J122" s="1"/>
  <c r="E123"/>
  <c r="J123"/>
  <c r="K124"/>
  <c r="J124" s="1"/>
  <c r="K125"/>
  <c r="J125" s="1"/>
  <c r="K126"/>
  <c r="J126" s="1"/>
  <c r="K127"/>
  <c r="J127" s="1"/>
  <c r="K128"/>
  <c r="J128" s="1"/>
  <c r="K129"/>
  <c r="J129" s="1"/>
  <c r="K130"/>
  <c r="J130" s="1"/>
  <c r="K131"/>
  <c r="J131" s="1"/>
  <c r="K132"/>
  <c r="J132" s="1"/>
  <c r="K133"/>
  <c r="J133" s="1"/>
  <c r="K134"/>
  <c r="J134" s="1"/>
  <c r="K135"/>
  <c r="J135" s="1"/>
  <c r="J137"/>
  <c r="L136"/>
  <c r="F139"/>
  <c r="G139"/>
  <c r="H139"/>
  <c r="I139"/>
  <c r="K139"/>
  <c r="N139"/>
  <c r="O139"/>
  <c r="P139"/>
  <c r="Q139"/>
  <c r="R139"/>
  <c r="V139"/>
  <c r="D140"/>
  <c r="E140"/>
  <c r="E139" s="1"/>
  <c r="J140"/>
  <c r="J141"/>
  <c r="C141" s="1"/>
  <c r="F142"/>
  <c r="G142"/>
  <c r="H142"/>
  <c r="I142"/>
  <c r="K142"/>
  <c r="M142"/>
  <c r="O142"/>
  <c r="P142"/>
  <c r="Q142"/>
  <c r="R142"/>
  <c r="R205" s="1"/>
  <c r="V142"/>
  <c r="D143"/>
  <c r="D142" s="1"/>
  <c r="E143"/>
  <c r="E142" s="1"/>
  <c r="N142"/>
  <c r="F144"/>
  <c r="G144"/>
  <c r="H144"/>
  <c r="I144"/>
  <c r="K144"/>
  <c r="L144"/>
  <c r="M144"/>
  <c r="N144"/>
  <c r="P144"/>
  <c r="Q144"/>
  <c r="R144"/>
  <c r="V144"/>
  <c r="O145"/>
  <c r="J145" s="1"/>
  <c r="E146"/>
  <c r="E144" s="1"/>
  <c r="O146"/>
  <c r="J146" s="1"/>
  <c r="E147"/>
  <c r="D147" s="1"/>
  <c r="O147"/>
  <c r="J147" s="1"/>
  <c r="O148"/>
  <c r="J148" s="1"/>
  <c r="C148" s="1"/>
  <c r="O149"/>
  <c r="J149" s="1"/>
  <c r="C149" s="1"/>
  <c r="O150"/>
  <c r="J150" s="1"/>
  <c r="C150" s="1"/>
  <c r="O151"/>
  <c r="J151" s="1"/>
  <c r="C151" s="1"/>
  <c r="O152"/>
  <c r="J152" s="1"/>
  <c r="C152" s="1"/>
  <c r="O153"/>
  <c r="J153" s="1"/>
  <c r="C153" s="1"/>
  <c r="O154"/>
  <c r="J154" s="1"/>
  <c r="C154" s="1"/>
  <c r="O155"/>
  <c r="J155" s="1"/>
  <c r="C155" s="1"/>
  <c r="O156"/>
  <c r="J156" s="1"/>
  <c r="C156" s="1"/>
  <c r="O157"/>
  <c r="J157" s="1"/>
  <c r="C157" s="1"/>
  <c r="O158"/>
  <c r="J158" s="1"/>
  <c r="C158" s="1"/>
  <c r="O159"/>
  <c r="J159" s="1"/>
  <c r="C159" s="1"/>
  <c r="O160"/>
  <c r="J160" s="1"/>
  <c r="C160" s="1"/>
  <c r="O161"/>
  <c r="J161" s="1"/>
  <c r="C161" s="1"/>
  <c r="K162"/>
  <c r="M162"/>
  <c r="N162"/>
  <c r="O162"/>
  <c r="P162"/>
  <c r="Q162"/>
  <c r="R162"/>
  <c r="V162"/>
  <c r="F164"/>
  <c r="G164"/>
  <c r="H164"/>
  <c r="I164"/>
  <c r="K164"/>
  <c r="M164"/>
  <c r="N164"/>
  <c r="O164"/>
  <c r="Q164"/>
  <c r="R164"/>
  <c r="V164"/>
  <c r="E165"/>
  <c r="J165"/>
  <c r="P165"/>
  <c r="J166"/>
  <c r="C166" s="1"/>
  <c r="P166"/>
  <c r="J167"/>
  <c r="C167" s="1"/>
  <c r="P167"/>
  <c r="P168"/>
  <c r="J168" s="1"/>
  <c r="C168" s="1"/>
  <c r="P169"/>
  <c r="J169" s="1"/>
  <c r="C169" s="1"/>
  <c r="P170"/>
  <c r="J170" s="1"/>
  <c r="C170" s="1"/>
  <c r="P171"/>
  <c r="J171" s="1"/>
  <c r="C171" s="1"/>
  <c r="P172"/>
  <c r="J172" s="1"/>
  <c r="C172" s="1"/>
  <c r="J173"/>
  <c r="C173" s="1"/>
  <c r="P173"/>
  <c r="P174"/>
  <c r="J174" s="1"/>
  <c r="C174" s="1"/>
  <c r="P175"/>
  <c r="J175" s="1"/>
  <c r="C175" s="1"/>
  <c r="P176"/>
  <c r="J176" s="1"/>
  <c r="C176" s="1"/>
  <c r="E177"/>
  <c r="D177" s="1"/>
  <c r="P177"/>
  <c r="J177" s="1"/>
  <c r="D178"/>
  <c r="E178"/>
  <c r="P178"/>
  <c r="J178" s="1"/>
  <c r="C178" s="1"/>
  <c r="P179"/>
  <c r="J179" s="1"/>
  <c r="C179" s="1"/>
  <c r="D180"/>
  <c r="E180"/>
  <c r="P180"/>
  <c r="J180" s="1"/>
  <c r="C180" s="1"/>
  <c r="P181"/>
  <c r="J181" s="1"/>
  <c r="C181" s="1"/>
  <c r="J182"/>
  <c r="C182" s="1"/>
  <c r="P182"/>
  <c r="J183"/>
  <c r="C183" s="1"/>
  <c r="P183"/>
  <c r="J184"/>
  <c r="C184" s="1"/>
  <c r="P184"/>
  <c r="J185"/>
  <c r="C185" s="1"/>
  <c r="P185"/>
  <c r="C186"/>
  <c r="J186"/>
  <c r="P186"/>
  <c r="C187"/>
  <c r="J187"/>
  <c r="P187"/>
  <c r="J188"/>
  <c r="C188" s="1"/>
  <c r="P188"/>
  <c r="J190"/>
  <c r="C190" s="1"/>
  <c r="S190"/>
  <c r="S191"/>
  <c r="J191" s="1"/>
  <c r="C191" s="1"/>
  <c r="D192"/>
  <c r="E192"/>
  <c r="F192"/>
  <c r="G192"/>
  <c r="H192"/>
  <c r="I192"/>
  <c r="K192"/>
  <c r="M192"/>
  <c r="N192"/>
  <c r="O192"/>
  <c r="P192"/>
  <c r="R192"/>
  <c r="V192"/>
  <c r="J193"/>
  <c r="C193" s="1"/>
  <c r="Q193"/>
  <c r="Q194"/>
  <c r="J194" s="1"/>
  <c r="C194" s="1"/>
  <c r="C195"/>
  <c r="J195"/>
  <c r="V196"/>
  <c r="J196" s="1"/>
  <c r="C196" s="1"/>
  <c r="J197"/>
  <c r="C197" s="1"/>
  <c r="J198"/>
  <c r="C198" s="1"/>
  <c r="V198"/>
  <c r="V199"/>
  <c r="J199" s="1"/>
  <c r="C199" s="1"/>
  <c r="V200"/>
  <c r="J200" s="1"/>
  <c r="C200" s="1"/>
  <c r="J201"/>
  <c r="C201" s="1"/>
  <c r="V201"/>
  <c r="V202"/>
  <c r="J202" s="1"/>
  <c r="C202" s="1"/>
  <c r="E203"/>
  <c r="D203" s="1"/>
  <c r="C203" s="1"/>
  <c r="F203"/>
  <c r="T204"/>
  <c r="T205" s="1"/>
  <c r="C15" i="33"/>
  <c r="X35" i="61"/>
  <c r="W35"/>
  <c r="X34"/>
  <c r="W34"/>
  <c r="X33"/>
  <c r="C33"/>
  <c r="W33" s="1"/>
  <c r="X32"/>
  <c r="W32"/>
  <c r="W31"/>
  <c r="V31"/>
  <c r="S31"/>
  <c r="P31"/>
  <c r="M31"/>
  <c r="J31"/>
  <c r="X30"/>
  <c r="W30"/>
  <c r="W29"/>
  <c r="W28" s="1"/>
  <c r="V29"/>
  <c r="V28" s="1"/>
  <c r="S29"/>
  <c r="S28" s="1"/>
  <c r="P29"/>
  <c r="M29"/>
  <c r="M28" s="1"/>
  <c r="J29"/>
  <c r="G29"/>
  <c r="U28"/>
  <c r="T28"/>
  <c r="R28"/>
  <c r="Q28"/>
  <c r="P28"/>
  <c r="O28"/>
  <c r="L28"/>
  <c r="K28"/>
  <c r="J28"/>
  <c r="I28"/>
  <c r="H28"/>
  <c r="G28"/>
  <c r="F28"/>
  <c r="X27"/>
  <c r="W27"/>
  <c r="W26"/>
  <c r="W25"/>
  <c r="V25"/>
  <c r="S25"/>
  <c r="S24" s="1"/>
  <c r="P25"/>
  <c r="M25"/>
  <c r="M24" s="1"/>
  <c r="J25"/>
  <c r="J24" s="1"/>
  <c r="J23" s="1"/>
  <c r="G25"/>
  <c r="G24" s="1"/>
  <c r="W24"/>
  <c r="W23" s="1"/>
  <c r="V24"/>
  <c r="U24"/>
  <c r="R24"/>
  <c r="P24"/>
  <c r="P23" s="1"/>
  <c r="O24"/>
  <c r="O23" s="1"/>
  <c r="L24"/>
  <c r="I24"/>
  <c r="I23" s="1"/>
  <c r="F24"/>
  <c r="D24"/>
  <c r="U23"/>
  <c r="T23"/>
  <c r="R23"/>
  <c r="L23"/>
  <c r="F23"/>
  <c r="D23"/>
  <c r="C23"/>
  <c r="X22"/>
  <c r="W22"/>
  <c r="W21"/>
  <c r="W20" s="1"/>
  <c r="V21"/>
  <c r="V20" s="1"/>
  <c r="S21"/>
  <c r="M21"/>
  <c r="M20" s="1"/>
  <c r="G21"/>
  <c r="U20"/>
  <c r="T20"/>
  <c r="S20"/>
  <c r="R20"/>
  <c r="Q20"/>
  <c r="P20"/>
  <c r="O20"/>
  <c r="N20"/>
  <c r="L20"/>
  <c r="K20"/>
  <c r="J20"/>
  <c r="I20"/>
  <c r="H20"/>
  <c r="G20"/>
  <c r="F20"/>
  <c r="E20"/>
  <c r="D20"/>
  <c r="C20"/>
  <c r="X19"/>
  <c r="C19"/>
  <c r="W19" s="1"/>
  <c r="X18"/>
  <c r="W18"/>
  <c r="C18"/>
  <c r="W17"/>
  <c r="V17"/>
  <c r="X17" s="1"/>
  <c r="W16"/>
  <c r="V16"/>
  <c r="S16"/>
  <c r="P16"/>
  <c r="M16"/>
  <c r="J16"/>
  <c r="G16"/>
  <c r="X15"/>
  <c r="W14"/>
  <c r="W13" s="1"/>
  <c r="S14"/>
  <c r="S13" s="1"/>
  <c r="M14"/>
  <c r="M13" s="1"/>
  <c r="J14"/>
  <c r="G14"/>
  <c r="V13"/>
  <c r="U13"/>
  <c r="U8" s="1"/>
  <c r="U36" s="1"/>
  <c r="R13"/>
  <c r="P13"/>
  <c r="O13"/>
  <c r="N13"/>
  <c r="L13"/>
  <c r="K13"/>
  <c r="G13"/>
  <c r="F13"/>
  <c r="E13"/>
  <c r="X12"/>
  <c r="W12"/>
  <c r="J12"/>
  <c r="G12"/>
  <c r="W11"/>
  <c r="S11"/>
  <c r="S9" s="1"/>
  <c r="S8" s="1"/>
  <c r="P11"/>
  <c r="M11"/>
  <c r="J11"/>
  <c r="J9" s="1"/>
  <c r="G11"/>
  <c r="V10"/>
  <c r="X10" s="1"/>
  <c r="R10"/>
  <c r="R9" s="1"/>
  <c r="R8" s="1"/>
  <c r="R36" s="1"/>
  <c r="O10"/>
  <c r="O9" s="1"/>
  <c r="L10"/>
  <c r="I10"/>
  <c r="F10"/>
  <c r="U9"/>
  <c r="T9"/>
  <c r="T8" s="1"/>
  <c r="T36" s="1"/>
  <c r="Q9"/>
  <c r="Q8" s="1"/>
  <c r="Q36" s="1"/>
  <c r="P9"/>
  <c r="P8" s="1"/>
  <c r="N9"/>
  <c r="M9"/>
  <c r="M8" s="1"/>
  <c r="L9"/>
  <c r="L8" s="1"/>
  <c r="L36" s="1"/>
  <c r="K9"/>
  <c r="I9"/>
  <c r="I8" s="1"/>
  <c r="G9"/>
  <c r="G8" s="1"/>
  <c r="E9"/>
  <c r="D9"/>
  <c r="D8" s="1"/>
  <c r="C9"/>
  <c r="C8" s="1"/>
  <c r="C36" s="1"/>
  <c r="N8"/>
  <c r="N36" s="1"/>
  <c r="H8"/>
  <c r="E8"/>
  <c r="E36" s="1"/>
  <c r="C9" i="76"/>
  <c r="C8" s="1"/>
  <c r="C37" s="1"/>
  <c r="D9"/>
  <c r="D8" s="1"/>
  <c r="D37" s="1"/>
  <c r="E9"/>
  <c r="E8" s="1"/>
  <c r="E37" s="1"/>
  <c r="G9"/>
  <c r="G8" s="1"/>
  <c r="G37" s="1"/>
  <c r="H9"/>
  <c r="I9"/>
  <c r="I8" s="1"/>
  <c r="K9"/>
  <c r="K8" s="1"/>
  <c r="M9"/>
  <c r="M8" s="1"/>
  <c r="M37" s="1"/>
  <c r="O9"/>
  <c r="O8" s="1"/>
  <c r="P9"/>
  <c r="P8" s="1"/>
  <c r="Q10"/>
  <c r="Q9" s="1"/>
  <c r="Q8" s="1"/>
  <c r="R10"/>
  <c r="F11"/>
  <c r="F9" s="1"/>
  <c r="H11"/>
  <c r="J11"/>
  <c r="J9" s="1"/>
  <c r="L11"/>
  <c r="L9" s="1"/>
  <c r="L8" s="1"/>
  <c r="N11"/>
  <c r="N9" s="1"/>
  <c r="P11"/>
  <c r="Q11"/>
  <c r="F12"/>
  <c r="H12"/>
  <c r="Q12"/>
  <c r="R12"/>
  <c r="E13"/>
  <c r="I13"/>
  <c r="K13"/>
  <c r="L13"/>
  <c r="M13"/>
  <c r="O13"/>
  <c r="P13"/>
  <c r="Q13"/>
  <c r="F14"/>
  <c r="F13" s="1"/>
  <c r="H14"/>
  <c r="H13" s="1"/>
  <c r="J14"/>
  <c r="J13" s="1"/>
  <c r="N14"/>
  <c r="N13" s="1"/>
  <c r="Q14"/>
  <c r="R14"/>
  <c r="R13" s="1"/>
  <c r="R15"/>
  <c r="F16"/>
  <c r="H16"/>
  <c r="J16"/>
  <c r="L16"/>
  <c r="N16"/>
  <c r="P16"/>
  <c r="Q16"/>
  <c r="R16"/>
  <c r="Q18"/>
  <c r="R18"/>
  <c r="K19"/>
  <c r="Q19"/>
  <c r="R19"/>
  <c r="C20"/>
  <c r="Q20"/>
  <c r="S21" s="1"/>
  <c r="R20"/>
  <c r="C21"/>
  <c r="D21"/>
  <c r="E21"/>
  <c r="F21"/>
  <c r="G21"/>
  <c r="I21"/>
  <c r="K21"/>
  <c r="M21"/>
  <c r="N21"/>
  <c r="O21"/>
  <c r="F22"/>
  <c r="H22"/>
  <c r="H21" s="1"/>
  <c r="J22"/>
  <c r="J21" s="1"/>
  <c r="L22"/>
  <c r="L21" s="1"/>
  <c r="N22"/>
  <c r="P22"/>
  <c r="P21" s="1"/>
  <c r="Q22"/>
  <c r="Q21" s="1"/>
  <c r="Q23"/>
  <c r="R23"/>
  <c r="C24"/>
  <c r="D25"/>
  <c r="D24" s="1"/>
  <c r="E25"/>
  <c r="E24" s="1"/>
  <c r="G25"/>
  <c r="G24" s="1"/>
  <c r="I25"/>
  <c r="I24" s="1"/>
  <c r="K25"/>
  <c r="K24" s="1"/>
  <c r="L25"/>
  <c r="L24" s="1"/>
  <c r="M25"/>
  <c r="M24" s="1"/>
  <c r="O25"/>
  <c r="O24" s="1"/>
  <c r="F26"/>
  <c r="F25" s="1"/>
  <c r="F24" s="1"/>
  <c r="H26"/>
  <c r="H25" s="1"/>
  <c r="J26"/>
  <c r="J25" s="1"/>
  <c r="J24" s="1"/>
  <c r="L26"/>
  <c r="N26"/>
  <c r="N25" s="1"/>
  <c r="N24" s="1"/>
  <c r="P26"/>
  <c r="R26" s="1"/>
  <c r="Q26"/>
  <c r="Q25" s="1"/>
  <c r="Q27"/>
  <c r="Q28"/>
  <c r="R28"/>
  <c r="E29"/>
  <c r="F29"/>
  <c r="G29"/>
  <c r="I29"/>
  <c r="J29"/>
  <c r="K29"/>
  <c r="M29"/>
  <c r="N29"/>
  <c r="O29"/>
  <c r="F30"/>
  <c r="H30"/>
  <c r="H29" s="1"/>
  <c r="J30"/>
  <c r="L30"/>
  <c r="L29" s="1"/>
  <c r="N30"/>
  <c r="P30"/>
  <c r="P29" s="1"/>
  <c r="Q30"/>
  <c r="Q29" s="1"/>
  <c r="R30"/>
  <c r="R29" s="1"/>
  <c r="Q31"/>
  <c r="R31"/>
  <c r="F32"/>
  <c r="H32"/>
  <c r="R32" s="1"/>
  <c r="J32"/>
  <c r="L32"/>
  <c r="N32"/>
  <c r="P32"/>
  <c r="Q32"/>
  <c r="S32" s="1"/>
  <c r="Q33"/>
  <c r="R33"/>
  <c r="C34"/>
  <c r="Q34" s="1"/>
  <c r="R34"/>
  <c r="Q35"/>
  <c r="R35"/>
  <c r="Q36"/>
  <c r="R36"/>
  <c r="C57" i="84" l="1"/>
  <c r="C8"/>
  <c r="C16" i="87"/>
  <c r="C15" s="1"/>
  <c r="N205" i="26"/>
  <c r="F122"/>
  <c r="F121" s="1"/>
  <c r="F205" s="1"/>
  <c r="G122"/>
  <c r="G121" s="1"/>
  <c r="G205" s="1"/>
  <c r="H122"/>
  <c r="H121" s="1"/>
  <c r="H205" s="1"/>
  <c r="D139"/>
  <c r="C140"/>
  <c r="C139" s="1"/>
  <c r="C177"/>
  <c r="L205"/>
  <c r="E164"/>
  <c r="I122"/>
  <c r="I121" s="1"/>
  <c r="I205" s="1"/>
  <c r="J204"/>
  <c r="C204" s="1"/>
  <c r="S189"/>
  <c r="S205" s="1"/>
  <c r="J143"/>
  <c r="J142" s="1"/>
  <c r="C147"/>
  <c r="V205"/>
  <c r="Q192"/>
  <c r="Q205" s="1"/>
  <c r="M139"/>
  <c r="M205" s="1"/>
  <c r="J189"/>
  <c r="C189" s="1"/>
  <c r="P164"/>
  <c r="P205" s="1"/>
  <c r="O144"/>
  <c r="O205" s="1"/>
  <c r="K121"/>
  <c r="K205" s="1"/>
  <c r="J164"/>
  <c r="J144"/>
  <c r="J121"/>
  <c r="C192"/>
  <c r="J139"/>
  <c r="E122"/>
  <c r="E121" s="1"/>
  <c r="E205" s="1"/>
  <c r="J192"/>
  <c r="D165"/>
  <c r="D146"/>
  <c r="C145"/>
  <c r="J138"/>
  <c r="C138" s="1"/>
  <c r="C137"/>
  <c r="D123"/>
  <c r="I36" i="61"/>
  <c r="X14"/>
  <c r="X13" s="1"/>
  <c r="X24"/>
  <c r="X23" s="1"/>
  <c r="M23"/>
  <c r="X31"/>
  <c r="W10"/>
  <c r="W9" s="1"/>
  <c r="W8" s="1"/>
  <c r="K8"/>
  <c r="K36" s="1"/>
  <c r="P36"/>
  <c r="V9"/>
  <c r="V8" s="1"/>
  <c r="O8"/>
  <c r="O36" s="1"/>
  <c r="X25"/>
  <c r="X29"/>
  <c r="X28" s="1"/>
  <c r="H36"/>
  <c r="D36"/>
  <c r="X16"/>
  <c r="X21"/>
  <c r="X20" s="1"/>
  <c r="V23"/>
  <c r="G23"/>
  <c r="G36" s="1"/>
  <c r="S23"/>
  <c r="S36" s="1"/>
  <c r="M36"/>
  <c r="W36"/>
  <c r="F9"/>
  <c r="F8" s="1"/>
  <c r="F36" s="1"/>
  <c r="J13"/>
  <c r="J8" s="1"/>
  <c r="J36" s="1"/>
  <c r="X11"/>
  <c r="X9" s="1"/>
  <c r="I37" i="76"/>
  <c r="J8"/>
  <c r="J37" s="1"/>
  <c r="K37"/>
  <c r="S37"/>
  <c r="H24"/>
  <c r="L37"/>
  <c r="Q24"/>
  <c r="Q37" s="1"/>
  <c r="N8"/>
  <c r="N37" s="1"/>
  <c r="F8"/>
  <c r="F37" s="1"/>
  <c r="O37"/>
  <c r="H8"/>
  <c r="H37" s="1"/>
  <c r="R11"/>
  <c r="R9" s="1"/>
  <c r="R8" s="1"/>
  <c r="P25"/>
  <c r="R22"/>
  <c r="R21" s="1"/>
  <c r="C143" i="26" l="1"/>
  <c r="C142" s="1"/>
  <c r="J136"/>
  <c r="J205" s="1"/>
  <c r="C146"/>
  <c r="C144" s="1"/>
  <c r="D144"/>
  <c r="C123"/>
  <c r="C165"/>
  <c r="C164" s="1"/>
  <c r="D164"/>
  <c r="C136"/>
  <c r="X8" i="61"/>
  <c r="X36" s="1"/>
  <c r="V36"/>
  <c r="R25" i="76"/>
  <c r="R24" s="1"/>
  <c r="R37" s="1"/>
  <c r="P24"/>
  <c r="P37" s="1"/>
  <c r="D122" i="26" l="1"/>
  <c r="D121"/>
  <c r="D205" s="1"/>
  <c r="E20" i="17" l="1"/>
  <c r="E25"/>
  <c r="S97" i="83"/>
  <c r="R97"/>
  <c r="P97"/>
  <c r="O97"/>
  <c r="M97"/>
  <c r="L97"/>
  <c r="J97"/>
  <c r="I97"/>
  <c r="T95"/>
  <c r="U95" s="1"/>
  <c r="S95"/>
  <c r="R95"/>
  <c r="Q95"/>
  <c r="P95"/>
  <c r="O95"/>
  <c r="N95"/>
  <c r="M95"/>
  <c r="L95"/>
  <c r="K95"/>
  <c r="J95"/>
  <c r="I95"/>
  <c r="H95"/>
  <c r="G95"/>
  <c r="F95"/>
  <c r="E95"/>
  <c r="U94"/>
  <c r="U93"/>
  <c r="U78"/>
  <c r="U77"/>
  <c r="U76"/>
  <c r="U75"/>
  <c r="U73"/>
  <c r="N73"/>
  <c r="U72"/>
  <c r="R71"/>
  <c r="U68"/>
  <c r="T67"/>
  <c r="T63" s="1"/>
  <c r="Q67"/>
  <c r="N67"/>
  <c r="K67"/>
  <c r="H67"/>
  <c r="H63" s="1"/>
  <c r="E67"/>
  <c r="U67" s="1"/>
  <c r="U66"/>
  <c r="Q65"/>
  <c r="N65"/>
  <c r="K65"/>
  <c r="H65"/>
  <c r="E65"/>
  <c r="U65" s="1"/>
  <c r="U64"/>
  <c r="Q63"/>
  <c r="N63"/>
  <c r="K63"/>
  <c r="E63"/>
  <c r="U61"/>
  <c r="U60"/>
  <c r="U59"/>
  <c r="U58"/>
  <c r="U57"/>
  <c r="T56"/>
  <c r="Q56"/>
  <c r="N56"/>
  <c r="K56"/>
  <c r="H56"/>
  <c r="E56"/>
  <c r="U56" s="1"/>
  <c r="U55"/>
  <c r="T54"/>
  <c r="Q54"/>
  <c r="N54"/>
  <c r="K54"/>
  <c r="H54"/>
  <c r="E54"/>
  <c r="S53"/>
  <c r="T53" s="1"/>
  <c r="Q53"/>
  <c r="P53"/>
  <c r="N53"/>
  <c r="J53"/>
  <c r="K53" s="1"/>
  <c r="K41" s="1"/>
  <c r="H53"/>
  <c r="G53"/>
  <c r="D53"/>
  <c r="E53" s="1"/>
  <c r="U53" s="1"/>
  <c r="T52"/>
  <c r="Q52"/>
  <c r="N52"/>
  <c r="K52"/>
  <c r="U52" s="1"/>
  <c r="H52"/>
  <c r="E52"/>
  <c r="T50"/>
  <c r="P50"/>
  <c r="Q50" s="1"/>
  <c r="N50"/>
  <c r="K50"/>
  <c r="F50"/>
  <c r="H50" s="1"/>
  <c r="E50"/>
  <c r="U50" s="1"/>
  <c r="D50"/>
  <c r="S49"/>
  <c r="T49" s="1"/>
  <c r="Q49"/>
  <c r="P49"/>
  <c r="M49"/>
  <c r="N49" s="1"/>
  <c r="K49"/>
  <c r="J49"/>
  <c r="G49"/>
  <c r="H49" s="1"/>
  <c r="H41" s="1"/>
  <c r="E49"/>
  <c r="D49"/>
  <c r="T48"/>
  <c r="Q48"/>
  <c r="N48"/>
  <c r="K48"/>
  <c r="H48"/>
  <c r="E48"/>
  <c r="U48" s="1"/>
  <c r="T47"/>
  <c r="Q47"/>
  <c r="N47"/>
  <c r="K47"/>
  <c r="H47"/>
  <c r="E47"/>
  <c r="U47" s="1"/>
  <c r="T46"/>
  <c r="Q46"/>
  <c r="N46"/>
  <c r="N41" s="1"/>
  <c r="K46"/>
  <c r="U46" s="1"/>
  <c r="H46"/>
  <c r="E46"/>
  <c r="T45"/>
  <c r="Q45"/>
  <c r="N45"/>
  <c r="K45"/>
  <c r="U45" s="1"/>
  <c r="H45"/>
  <c r="E45"/>
  <c r="T44"/>
  <c r="Q44"/>
  <c r="Q41" s="1"/>
  <c r="N44"/>
  <c r="K44"/>
  <c r="H44"/>
  <c r="E44"/>
  <c r="U44" s="1"/>
  <c r="U42"/>
  <c r="S41"/>
  <c r="R41"/>
  <c r="P41"/>
  <c r="O41"/>
  <c r="L41"/>
  <c r="I41"/>
  <c r="G41"/>
  <c r="F41"/>
  <c r="U39"/>
  <c r="U38"/>
  <c r="T37"/>
  <c r="Q37"/>
  <c r="N37"/>
  <c r="K37"/>
  <c r="H37"/>
  <c r="E37"/>
  <c r="U37" s="1"/>
  <c r="U36"/>
  <c r="T35"/>
  <c r="Q35"/>
  <c r="N35"/>
  <c r="K35"/>
  <c r="H35"/>
  <c r="E35"/>
  <c r="T34"/>
  <c r="Q34"/>
  <c r="N34"/>
  <c r="K34"/>
  <c r="U34" s="1"/>
  <c r="H34"/>
  <c r="E34"/>
  <c r="U33"/>
  <c r="T33"/>
  <c r="U32"/>
  <c r="T31"/>
  <c r="Q31"/>
  <c r="N31"/>
  <c r="K31"/>
  <c r="H31"/>
  <c r="E31"/>
  <c r="U31" s="1"/>
  <c r="T30"/>
  <c r="Q30"/>
  <c r="N30"/>
  <c r="K30"/>
  <c r="H30"/>
  <c r="E30"/>
  <c r="U30" s="1"/>
  <c r="T29"/>
  <c r="Q29"/>
  <c r="N29"/>
  <c r="K29"/>
  <c r="U29" s="1"/>
  <c r="H29"/>
  <c r="E29"/>
  <c r="T28"/>
  <c r="Q28"/>
  <c r="N28"/>
  <c r="E28"/>
  <c r="E26" s="1"/>
  <c r="Q27"/>
  <c r="N27"/>
  <c r="K27"/>
  <c r="K26" s="1"/>
  <c r="K14" s="1"/>
  <c r="H27"/>
  <c r="U27" s="1"/>
  <c r="E27"/>
  <c r="T26"/>
  <c r="Q26"/>
  <c r="N26"/>
  <c r="H26"/>
  <c r="T25"/>
  <c r="Q25"/>
  <c r="N25"/>
  <c r="E25"/>
  <c r="U25" s="1"/>
  <c r="Q24"/>
  <c r="Q23" s="1"/>
  <c r="N24"/>
  <c r="K24"/>
  <c r="H24"/>
  <c r="E24"/>
  <c r="U24" s="1"/>
  <c r="T23"/>
  <c r="N23"/>
  <c r="K23"/>
  <c r="H23"/>
  <c r="G23"/>
  <c r="F23"/>
  <c r="U22"/>
  <c r="T21"/>
  <c r="T14" s="1"/>
  <c r="Q21"/>
  <c r="N21"/>
  <c r="K21"/>
  <c r="H21"/>
  <c r="E21"/>
  <c r="U21" s="1"/>
  <c r="T20"/>
  <c r="Q20"/>
  <c r="N20"/>
  <c r="K20"/>
  <c r="H20"/>
  <c r="E20"/>
  <c r="U20" s="1"/>
  <c r="U19"/>
  <c r="T18"/>
  <c r="Q18"/>
  <c r="N18"/>
  <c r="K18"/>
  <c r="H18"/>
  <c r="E18"/>
  <c r="U18" s="1"/>
  <c r="U17"/>
  <c r="T16"/>
  <c r="Q16"/>
  <c r="N16"/>
  <c r="K16"/>
  <c r="G16"/>
  <c r="H16" s="1"/>
  <c r="H14" s="1"/>
  <c r="E16"/>
  <c r="T15"/>
  <c r="Q15"/>
  <c r="Q14" s="1"/>
  <c r="N15"/>
  <c r="K15"/>
  <c r="H15"/>
  <c r="E15"/>
  <c r="N14"/>
  <c r="G13"/>
  <c r="T12"/>
  <c r="Q12"/>
  <c r="N12"/>
  <c r="K12"/>
  <c r="U12" s="1"/>
  <c r="H12"/>
  <c r="E12"/>
  <c r="T11"/>
  <c r="S11"/>
  <c r="T13" s="1"/>
  <c r="P11"/>
  <c r="Q11" s="1"/>
  <c r="N11"/>
  <c r="M11"/>
  <c r="J11"/>
  <c r="K11" s="1"/>
  <c r="H11"/>
  <c r="G11"/>
  <c r="H13" s="1"/>
  <c r="D11"/>
  <c r="E11" s="1"/>
  <c r="U11" s="1"/>
  <c r="T10"/>
  <c r="T9" s="1"/>
  <c r="S10"/>
  <c r="P10"/>
  <c r="Q10" s="1"/>
  <c r="Q9" s="1"/>
  <c r="N10"/>
  <c r="M10"/>
  <c r="N13" s="1"/>
  <c r="J10"/>
  <c r="K10" s="1"/>
  <c r="H10"/>
  <c r="H9" s="1"/>
  <c r="H8" s="1"/>
  <c r="G10"/>
  <c r="D10"/>
  <c r="E13" s="1"/>
  <c r="N9"/>
  <c r="I9"/>
  <c r="S8"/>
  <c r="S71" s="1"/>
  <c r="P8"/>
  <c r="M8"/>
  <c r="J8"/>
  <c r="G8"/>
  <c r="U23" l="1"/>
  <c r="U49"/>
  <c r="U13"/>
  <c r="T8"/>
  <c r="U16"/>
  <c r="U35"/>
  <c r="T41"/>
  <c r="U54"/>
  <c r="E23" i="17" s="1"/>
  <c r="U63" i="83"/>
  <c r="N8"/>
  <c r="K9"/>
  <c r="K8" s="1"/>
  <c r="H71"/>
  <c r="H70" s="1"/>
  <c r="H69"/>
  <c r="U41"/>
  <c r="K13"/>
  <c r="U28"/>
  <c r="U26" s="1"/>
  <c r="E23"/>
  <c r="E14" s="1"/>
  <c r="Q13"/>
  <c r="Q8" s="1"/>
  <c r="U15"/>
  <c r="J41"/>
  <c r="V95"/>
  <c r="E10"/>
  <c r="E41"/>
  <c r="M41"/>
  <c r="H17" i="2"/>
  <c r="F17"/>
  <c r="D21" i="1"/>
  <c r="J314" i="26"/>
  <c r="C314" s="1"/>
  <c r="J257"/>
  <c r="C257" s="1"/>
  <c r="K905" i="82"/>
  <c r="J905"/>
  <c r="K885"/>
  <c r="J885"/>
  <c r="J802"/>
  <c r="H802"/>
  <c r="K356"/>
  <c r="J356"/>
  <c r="K306"/>
  <c r="K269"/>
  <c r="K235"/>
  <c r="K241"/>
  <c r="K169"/>
  <c r="L116"/>
  <c r="E30" i="1"/>
  <c r="E23" i="63"/>
  <c r="J622" i="82"/>
  <c r="K944"/>
  <c r="C324" i="26"/>
  <c r="Q71" i="83" l="1"/>
  <c r="Q70" s="1"/>
  <c r="Q69"/>
  <c r="T71"/>
  <c r="T70" s="1"/>
  <c r="T69"/>
  <c r="U10"/>
  <c r="U9" s="1"/>
  <c r="U8" s="1"/>
  <c r="E9"/>
  <c r="E8" s="1"/>
  <c r="N69"/>
  <c r="N71"/>
  <c r="N70" s="1"/>
  <c r="U14"/>
  <c r="H79"/>
  <c r="H97" s="1"/>
  <c r="H74"/>
  <c r="K69"/>
  <c r="K71"/>
  <c r="K70" s="1"/>
  <c r="E18" i="17"/>
  <c r="H80" i="83" l="1"/>
  <c r="K80"/>
  <c r="N79"/>
  <c r="N97" s="1"/>
  <c r="N74"/>
  <c r="T74"/>
  <c r="Q74"/>
  <c r="U69"/>
  <c r="K79"/>
  <c r="K97" s="1"/>
  <c r="K74"/>
  <c r="E71"/>
  <c r="E69"/>
  <c r="U71" l="1"/>
  <c r="U70" s="1"/>
  <c r="E16" i="17" s="1"/>
  <c r="E15" s="1"/>
  <c r="E70" i="83"/>
  <c r="Q80"/>
  <c r="Q79"/>
  <c r="Q97" s="1"/>
  <c r="T79"/>
  <c r="T97" s="1"/>
  <c r="E74"/>
  <c r="U74" s="1"/>
  <c r="N80"/>
  <c r="E22" i="17"/>
  <c r="E14" s="1"/>
  <c r="D25" i="1"/>
  <c r="D24" i="17"/>
  <c r="D13"/>
  <c r="D12"/>
  <c r="D26" i="1"/>
  <c r="E79" i="83" l="1"/>
  <c r="T80"/>
  <c r="E21" i="17"/>
  <c r="D18" i="1"/>
  <c r="U79" i="83" l="1"/>
  <c r="E80"/>
  <c r="U80" l="1"/>
  <c r="V93" s="1"/>
  <c r="E26" i="17"/>
  <c r="U316" i="26" l="1"/>
  <c r="U327" s="1"/>
  <c r="C323"/>
  <c r="R322"/>
  <c r="J322" s="1"/>
  <c r="C322" s="1"/>
  <c r="T326"/>
  <c r="T327" s="1"/>
  <c r="F325"/>
  <c r="E325" s="1"/>
  <c r="D325" s="1"/>
  <c r="C325" s="1"/>
  <c r="V321"/>
  <c r="J321" s="1"/>
  <c r="C321" s="1"/>
  <c r="V320"/>
  <c r="J320" s="1"/>
  <c r="C320" s="1"/>
  <c r="V319"/>
  <c r="J319" s="1"/>
  <c r="C319" s="1"/>
  <c r="V317"/>
  <c r="J317" s="1"/>
  <c r="C317" s="1"/>
  <c r="V315"/>
  <c r="J315" s="1"/>
  <c r="P305"/>
  <c r="J305" s="1"/>
  <c r="C305" s="1"/>
  <c r="P304"/>
  <c r="J304" s="1"/>
  <c r="C304" s="1"/>
  <c r="P303"/>
  <c r="J303" s="1"/>
  <c r="C303" s="1"/>
  <c r="O281"/>
  <c r="J281" s="1"/>
  <c r="C281" s="1"/>
  <c r="O280"/>
  <c r="J280" s="1"/>
  <c r="C280" s="1"/>
  <c r="O279"/>
  <c r="J279" s="1"/>
  <c r="C279" s="1"/>
  <c r="O278"/>
  <c r="J278" s="1"/>
  <c r="C278" s="1"/>
  <c r="O277"/>
  <c r="J277" s="1"/>
  <c r="C277" s="1"/>
  <c r="O276"/>
  <c r="J276" s="1"/>
  <c r="C276" s="1"/>
  <c r="O273"/>
  <c r="J273" s="1"/>
  <c r="C273" s="1"/>
  <c r="O272"/>
  <c r="J272" s="1"/>
  <c r="C272" s="1"/>
  <c r="O268"/>
  <c r="J268" s="1"/>
  <c r="C268" s="1"/>
  <c r="J256"/>
  <c r="C256" s="1"/>
  <c r="L255"/>
  <c r="L254" s="1"/>
  <c r="K253"/>
  <c r="J253" s="1"/>
  <c r="C253" s="1"/>
  <c r="K252"/>
  <c r="J252" s="1"/>
  <c r="C252" s="1"/>
  <c r="K251"/>
  <c r="J251" s="1"/>
  <c r="C251" s="1"/>
  <c r="K250"/>
  <c r="J250" s="1"/>
  <c r="C250" s="1"/>
  <c r="K249"/>
  <c r="J249" s="1"/>
  <c r="C249" s="1"/>
  <c r="K248"/>
  <c r="J248" s="1"/>
  <c r="C248" s="1"/>
  <c r="J241"/>
  <c r="K240"/>
  <c r="J240" s="1"/>
  <c r="V311"/>
  <c r="R311"/>
  <c r="P311"/>
  <c r="O311"/>
  <c r="N311"/>
  <c r="M311"/>
  <c r="K311"/>
  <c r="I311"/>
  <c r="H311"/>
  <c r="G311"/>
  <c r="F311"/>
  <c r="E311"/>
  <c r="D311"/>
  <c r="E298"/>
  <c r="D298" s="1"/>
  <c r="E296"/>
  <c r="D296" s="1"/>
  <c r="E295"/>
  <c r="D295" s="1"/>
  <c r="E283"/>
  <c r="D283" s="1"/>
  <c r="V282"/>
  <c r="R282"/>
  <c r="Q282"/>
  <c r="O282"/>
  <c r="N282"/>
  <c r="M282"/>
  <c r="K282"/>
  <c r="I282"/>
  <c r="H282"/>
  <c r="G282"/>
  <c r="F282"/>
  <c r="E266"/>
  <c r="D266" s="1"/>
  <c r="E265"/>
  <c r="D265" s="1"/>
  <c r="V263"/>
  <c r="R263"/>
  <c r="Q263"/>
  <c r="P263"/>
  <c r="N263"/>
  <c r="M263"/>
  <c r="L263"/>
  <c r="K263"/>
  <c r="I263"/>
  <c r="H263"/>
  <c r="G263"/>
  <c r="F263"/>
  <c r="E262"/>
  <c r="D262" s="1"/>
  <c r="D261" s="1"/>
  <c r="V261"/>
  <c r="R261"/>
  <c r="Q261"/>
  <c r="P261"/>
  <c r="O261"/>
  <c r="M261"/>
  <c r="K261"/>
  <c r="I261"/>
  <c r="H261"/>
  <c r="G261"/>
  <c r="F261"/>
  <c r="E261"/>
  <c r="E259"/>
  <c r="D259" s="1"/>
  <c r="V258"/>
  <c r="R258"/>
  <c r="Q258"/>
  <c r="P258"/>
  <c r="O258"/>
  <c r="N258"/>
  <c r="K258"/>
  <c r="I258"/>
  <c r="H258"/>
  <c r="G258"/>
  <c r="F258"/>
  <c r="F240" s="1"/>
  <c r="F239" s="1"/>
  <c r="F327" s="1"/>
  <c r="E258"/>
  <c r="E241"/>
  <c r="D241" s="1"/>
  <c r="V239"/>
  <c r="R239"/>
  <c r="Q239"/>
  <c r="P239"/>
  <c r="O239"/>
  <c r="N239"/>
  <c r="M239"/>
  <c r="D34" i="82"/>
  <c r="D40"/>
  <c r="D63"/>
  <c r="D76"/>
  <c r="D89"/>
  <c r="D110"/>
  <c r="D113"/>
  <c r="D117"/>
  <c r="D120"/>
  <c r="D121"/>
  <c r="D122"/>
  <c r="D127"/>
  <c r="D131"/>
  <c r="D169"/>
  <c r="D210"/>
  <c r="D238"/>
  <c r="D241"/>
  <c r="D269"/>
  <c r="D290"/>
  <c r="D303"/>
  <c r="D309"/>
  <c r="D312"/>
  <c r="D322"/>
  <c r="D320" s="1"/>
  <c r="D336"/>
  <c r="D335" s="1"/>
  <c r="D339"/>
  <c r="D341"/>
  <c r="D346"/>
  <c r="D348"/>
  <c r="D356"/>
  <c r="D372"/>
  <c r="D382"/>
  <c r="D389"/>
  <c r="D411"/>
  <c r="D410" s="1"/>
  <c r="D413"/>
  <c r="D416"/>
  <c r="D423"/>
  <c r="D422" s="1"/>
  <c r="D425"/>
  <c r="D430"/>
  <c r="D429" s="1"/>
  <c r="D432"/>
  <c r="D440"/>
  <c r="D438" s="1"/>
  <c r="D443"/>
  <c r="D455"/>
  <c r="D459"/>
  <c r="D463"/>
  <c r="D467"/>
  <c r="D472"/>
  <c r="D458" s="1"/>
  <c r="D482"/>
  <c r="D503"/>
  <c r="D513"/>
  <c r="D530"/>
  <c r="D529" s="1"/>
  <c r="D528" s="1"/>
  <c r="D532"/>
  <c r="D533"/>
  <c r="D563"/>
  <c r="D564"/>
  <c r="D566"/>
  <c r="D587"/>
  <c r="D585" s="1"/>
  <c r="D584" s="1"/>
  <c r="D589"/>
  <c r="D595"/>
  <c r="D606"/>
  <c r="D611"/>
  <c r="D617"/>
  <c r="D622"/>
  <c r="D631"/>
  <c r="D637"/>
  <c r="D642"/>
  <c r="D641" s="1"/>
  <c r="D644"/>
  <c r="D645"/>
  <c r="D648"/>
  <c r="D661"/>
  <c r="D666"/>
  <c r="D674"/>
  <c r="D673" s="1"/>
  <c r="D682"/>
  <c r="D694"/>
  <c r="D702"/>
  <c r="D717"/>
  <c r="D718"/>
  <c r="D720"/>
  <c r="D716" s="1"/>
  <c r="D715" s="1"/>
  <c r="D722"/>
  <c r="D754"/>
  <c r="D759"/>
  <c r="D751" s="1"/>
  <c r="D761"/>
  <c r="D769"/>
  <c r="D772"/>
  <c r="D777"/>
  <c r="D793"/>
  <c r="E793" s="1"/>
  <c r="F793" s="1"/>
  <c r="D805"/>
  <c r="D830"/>
  <c r="D851"/>
  <c r="D852"/>
  <c r="D856"/>
  <c r="D886"/>
  <c r="D885" s="1"/>
  <c r="D905"/>
  <c r="D932"/>
  <c r="F948"/>
  <c r="F947"/>
  <c r="F946"/>
  <c r="F945"/>
  <c r="G944"/>
  <c r="F944"/>
  <c r="E944"/>
  <c r="I943"/>
  <c r="F942"/>
  <c r="I942" s="1"/>
  <c r="F939"/>
  <c r="I939" s="1"/>
  <c r="F938"/>
  <c r="I938" s="1"/>
  <c r="F937"/>
  <c r="F936"/>
  <c r="I936" s="1"/>
  <c r="E935"/>
  <c r="F935" s="1"/>
  <c r="L932"/>
  <c r="G932"/>
  <c r="G930"/>
  <c r="F930"/>
  <c r="E930"/>
  <c r="F928"/>
  <c r="F927"/>
  <c r="F918"/>
  <c r="F917"/>
  <c r="F916"/>
  <c r="F915"/>
  <c r="F914"/>
  <c r="F913"/>
  <c r="I913" s="1"/>
  <c r="I905" s="1"/>
  <c r="F912"/>
  <c r="F911"/>
  <c r="F910"/>
  <c r="F909"/>
  <c r="F908"/>
  <c r="F907"/>
  <c r="F906"/>
  <c r="Q313" i="26"/>
  <c r="J313" s="1"/>
  <c r="C313" s="1"/>
  <c r="E905" i="82"/>
  <c r="F905" s="1"/>
  <c r="C905"/>
  <c r="F902"/>
  <c r="F901"/>
  <c r="F900"/>
  <c r="F899"/>
  <c r="F898"/>
  <c r="F897"/>
  <c r="F896"/>
  <c r="F895"/>
  <c r="F894"/>
  <c r="F893"/>
  <c r="F892"/>
  <c r="F891"/>
  <c r="F890"/>
  <c r="F889"/>
  <c r="I888"/>
  <c r="I885" s="1"/>
  <c r="F888"/>
  <c r="F887"/>
  <c r="F886"/>
  <c r="Q312" i="26"/>
  <c r="J312" s="1"/>
  <c r="E885" i="82"/>
  <c r="F885" s="1"/>
  <c r="C885"/>
  <c r="J884"/>
  <c r="E883"/>
  <c r="F883" s="1"/>
  <c r="E882"/>
  <c r="F882" s="1"/>
  <c r="E881"/>
  <c r="F881" s="1"/>
  <c r="E880"/>
  <c r="F880" s="1"/>
  <c r="I879"/>
  <c r="J879" s="1"/>
  <c r="K879" s="1"/>
  <c r="I878"/>
  <c r="J878" s="1"/>
  <c r="E877"/>
  <c r="F877" s="1"/>
  <c r="E876"/>
  <c r="F876" s="1"/>
  <c r="I875"/>
  <c r="J875" s="1"/>
  <c r="K875" s="1"/>
  <c r="I874"/>
  <c r="J874" s="1"/>
  <c r="K874" s="1"/>
  <c r="E873"/>
  <c r="F873" s="1"/>
  <c r="F872"/>
  <c r="F871"/>
  <c r="F861"/>
  <c r="F860"/>
  <c r="F859"/>
  <c r="F858"/>
  <c r="F857"/>
  <c r="I856"/>
  <c r="E856"/>
  <c r="F856" s="1"/>
  <c r="C856"/>
  <c r="H854"/>
  <c r="I854" s="1"/>
  <c r="J854" s="1"/>
  <c r="K854" s="1"/>
  <c r="C854"/>
  <c r="H853"/>
  <c r="C853"/>
  <c r="D853" s="1"/>
  <c r="I852"/>
  <c r="J852" s="1"/>
  <c r="K852" s="1"/>
  <c r="E852"/>
  <c r="F852" s="1"/>
  <c r="I851"/>
  <c r="J851" s="1"/>
  <c r="E851"/>
  <c r="F836"/>
  <c r="F835"/>
  <c r="F834"/>
  <c r="F833"/>
  <c r="F832"/>
  <c r="F831"/>
  <c r="I830"/>
  <c r="I821" s="1"/>
  <c r="E830"/>
  <c r="F830" s="1"/>
  <c r="C830"/>
  <c r="H828"/>
  <c r="K828" s="1"/>
  <c r="C828"/>
  <c r="D828" s="1"/>
  <c r="H827"/>
  <c r="K827" s="1"/>
  <c r="C827"/>
  <c r="F826"/>
  <c r="H825"/>
  <c r="C825"/>
  <c r="H824"/>
  <c r="J824" s="1"/>
  <c r="C824"/>
  <c r="D824" s="1"/>
  <c r="F823"/>
  <c r="F810"/>
  <c r="F809"/>
  <c r="F808"/>
  <c r="F807"/>
  <c r="F806"/>
  <c r="I805"/>
  <c r="I796" s="1"/>
  <c r="E805"/>
  <c r="F805" s="1"/>
  <c r="C805"/>
  <c r="H803"/>
  <c r="J803" s="1"/>
  <c r="K803" s="1"/>
  <c r="C803"/>
  <c r="D803" s="1"/>
  <c r="K802"/>
  <c r="C802"/>
  <c r="F801"/>
  <c r="H800"/>
  <c r="J800" s="1"/>
  <c r="K800" s="1"/>
  <c r="C800"/>
  <c r="H799"/>
  <c r="C799"/>
  <c r="D799" s="1"/>
  <c r="F798"/>
  <c r="I792"/>
  <c r="J792" s="1"/>
  <c r="K792" s="1"/>
  <c r="K791" s="1"/>
  <c r="F791"/>
  <c r="I790"/>
  <c r="J790" s="1"/>
  <c r="F789"/>
  <c r="F787"/>
  <c r="K786"/>
  <c r="J786"/>
  <c r="O265" i="26" s="1"/>
  <c r="J265" s="1"/>
  <c r="I786" i="82"/>
  <c r="F786"/>
  <c r="F785"/>
  <c r="F784"/>
  <c r="F783"/>
  <c r="F782"/>
  <c r="F781"/>
  <c r="F780"/>
  <c r="F779"/>
  <c r="K778"/>
  <c r="K777" s="1"/>
  <c r="J778"/>
  <c r="J777" s="1"/>
  <c r="O264" i="26" s="1"/>
  <c r="I778" i="82"/>
  <c r="I777" s="1"/>
  <c r="F778"/>
  <c r="E777"/>
  <c r="F777" s="1"/>
  <c r="C777"/>
  <c r="C776" s="1"/>
  <c r="I775"/>
  <c r="F775"/>
  <c r="F774"/>
  <c r="F773"/>
  <c r="K772"/>
  <c r="J772"/>
  <c r="I772"/>
  <c r="F772"/>
  <c r="F771"/>
  <c r="K770"/>
  <c r="J770"/>
  <c r="J769" s="1"/>
  <c r="I770"/>
  <c r="F770"/>
  <c r="E769"/>
  <c r="F769" s="1"/>
  <c r="H767"/>
  <c r="I767" s="1"/>
  <c r="J767" s="1"/>
  <c r="K767" s="1"/>
  <c r="C767"/>
  <c r="D767" s="1"/>
  <c r="H766"/>
  <c r="C766"/>
  <c r="C763"/>
  <c r="F762"/>
  <c r="F761"/>
  <c r="F760"/>
  <c r="F759"/>
  <c r="K755"/>
  <c r="F755"/>
  <c r="I754"/>
  <c r="I753"/>
  <c r="F753"/>
  <c r="K752"/>
  <c r="I752"/>
  <c r="F752"/>
  <c r="J751"/>
  <c r="E751"/>
  <c r="F751" s="1"/>
  <c r="C751"/>
  <c r="C749"/>
  <c r="C748"/>
  <c r="D748" s="1"/>
  <c r="H746"/>
  <c r="I746" s="1"/>
  <c r="J746" s="1"/>
  <c r="C746"/>
  <c r="H745"/>
  <c r="I745" s="1"/>
  <c r="C745"/>
  <c r="D745" s="1"/>
  <c r="H743"/>
  <c r="I743" s="1"/>
  <c r="J743" s="1"/>
  <c r="K743" s="1"/>
  <c r="C743"/>
  <c r="D743" s="1"/>
  <c r="H742"/>
  <c r="I742" s="1"/>
  <c r="J742" s="1"/>
  <c r="C742"/>
  <c r="D742" s="1"/>
  <c r="C740"/>
  <c r="H738"/>
  <c r="I738" s="1"/>
  <c r="J738" s="1"/>
  <c r="K738" s="1"/>
  <c r="C738"/>
  <c r="D738" s="1"/>
  <c r="H737"/>
  <c r="C737"/>
  <c r="D737" s="1"/>
  <c r="C735"/>
  <c r="F730"/>
  <c r="F729"/>
  <c r="F728"/>
  <c r="F727"/>
  <c r="F726"/>
  <c r="F725"/>
  <c r="F724"/>
  <c r="F723"/>
  <c r="E722"/>
  <c r="F722" s="1"/>
  <c r="F721"/>
  <c r="E720"/>
  <c r="F720" s="1"/>
  <c r="F719"/>
  <c r="F718"/>
  <c r="F717"/>
  <c r="E716"/>
  <c r="F716" s="1"/>
  <c r="C716"/>
  <c r="C713"/>
  <c r="D713" s="1"/>
  <c r="C712"/>
  <c r="D714" s="1"/>
  <c r="I705"/>
  <c r="F703"/>
  <c r="K702"/>
  <c r="J702"/>
  <c r="I702"/>
  <c r="E702"/>
  <c r="F702" s="1"/>
  <c r="K700"/>
  <c r="J700"/>
  <c r="I700"/>
  <c r="F697"/>
  <c r="F696"/>
  <c r="I695"/>
  <c r="I694" s="1"/>
  <c r="F695"/>
  <c r="K694"/>
  <c r="J694"/>
  <c r="E694"/>
  <c r="F694" s="1"/>
  <c r="C694"/>
  <c r="F689"/>
  <c r="F688"/>
  <c r="F687"/>
  <c r="F686"/>
  <c r="F685"/>
  <c r="F684"/>
  <c r="F683"/>
  <c r="K682"/>
  <c r="J682"/>
  <c r="I682"/>
  <c r="E682"/>
  <c r="F682" s="1"/>
  <c r="C682"/>
  <c r="F680"/>
  <c r="F679"/>
  <c r="F678"/>
  <c r="F677"/>
  <c r="F676"/>
  <c r="F675"/>
  <c r="K674"/>
  <c r="K673" s="1"/>
  <c r="J674"/>
  <c r="I674"/>
  <c r="E674"/>
  <c r="E673" s="1"/>
  <c r="F673" s="1"/>
  <c r="C674"/>
  <c r="C673" s="1"/>
  <c r="F671"/>
  <c r="F670"/>
  <c r="F669"/>
  <c r="F668"/>
  <c r="F667"/>
  <c r="K666"/>
  <c r="J666"/>
  <c r="I666"/>
  <c r="E666"/>
  <c r="F666" s="1"/>
  <c r="C666"/>
  <c r="F665"/>
  <c r="F664"/>
  <c r="F663"/>
  <c r="I662"/>
  <c r="F662"/>
  <c r="I661"/>
  <c r="F661"/>
  <c r="I660"/>
  <c r="I659"/>
  <c r="I658"/>
  <c r="F658"/>
  <c r="K657"/>
  <c r="J657"/>
  <c r="I657"/>
  <c r="E657"/>
  <c r="F657" s="1"/>
  <c r="I656"/>
  <c r="F656"/>
  <c r="I655"/>
  <c r="F655"/>
  <c r="I654"/>
  <c r="F654"/>
  <c r="I653"/>
  <c r="F653"/>
  <c r="K652"/>
  <c r="J652"/>
  <c r="I652"/>
  <c r="I648" s="1"/>
  <c r="F652"/>
  <c r="K651"/>
  <c r="J651"/>
  <c r="E651"/>
  <c r="E648" s="1"/>
  <c r="K650"/>
  <c r="J650"/>
  <c r="F650"/>
  <c r="F649"/>
  <c r="C648"/>
  <c r="K646"/>
  <c r="J646"/>
  <c r="I646"/>
  <c r="I645"/>
  <c r="I644"/>
  <c r="I643"/>
  <c r="F643"/>
  <c r="J642"/>
  <c r="K642" s="1"/>
  <c r="I642"/>
  <c r="E642"/>
  <c r="C641"/>
  <c r="I638"/>
  <c r="J638" s="1"/>
  <c r="K638" s="1"/>
  <c r="H638"/>
  <c r="C638"/>
  <c r="D638" s="1"/>
  <c r="D636" s="1"/>
  <c r="H637"/>
  <c r="I637" s="1"/>
  <c r="J637" s="1"/>
  <c r="E637"/>
  <c r="H635"/>
  <c r="I635" s="1"/>
  <c r="J635" s="1"/>
  <c r="K635" s="1"/>
  <c r="C635"/>
  <c r="I634"/>
  <c r="H634"/>
  <c r="C634"/>
  <c r="J631"/>
  <c r="K631" s="1"/>
  <c r="I631"/>
  <c r="F631"/>
  <c r="E631"/>
  <c r="K630"/>
  <c r="F630"/>
  <c r="K629"/>
  <c r="F629"/>
  <c r="M260" i="26"/>
  <c r="J260" s="1"/>
  <c r="C260" s="1"/>
  <c r="I622" i="82"/>
  <c r="G622"/>
  <c r="G599" s="1"/>
  <c r="F622"/>
  <c r="E622"/>
  <c r="F621"/>
  <c r="F620"/>
  <c r="F619"/>
  <c r="F618"/>
  <c r="F617"/>
  <c r="F616"/>
  <c r="F615"/>
  <c r="F614"/>
  <c r="F613"/>
  <c r="F612"/>
  <c r="J611"/>
  <c r="K611" s="1"/>
  <c r="F611"/>
  <c r="J610"/>
  <c r="K610" s="1"/>
  <c r="F610"/>
  <c r="I609"/>
  <c r="J609" s="1"/>
  <c r="K609" s="1"/>
  <c r="F609"/>
  <c r="J608"/>
  <c r="K608" s="1"/>
  <c r="F608"/>
  <c r="I607"/>
  <c r="J607" s="1"/>
  <c r="F607"/>
  <c r="I606"/>
  <c r="E606"/>
  <c r="F606" s="1"/>
  <c r="H604"/>
  <c r="I604" s="1"/>
  <c r="J604" s="1"/>
  <c r="K604" s="1"/>
  <c r="C604"/>
  <c r="H603"/>
  <c r="I605" s="1"/>
  <c r="J605" s="1"/>
  <c r="K605" s="1"/>
  <c r="C603"/>
  <c r="D603" s="1"/>
  <c r="F597"/>
  <c r="F596"/>
  <c r="K595"/>
  <c r="J595"/>
  <c r="I595"/>
  <c r="E595"/>
  <c r="F595" s="1"/>
  <c r="F593"/>
  <c r="F592"/>
  <c r="F591"/>
  <c r="F590"/>
  <c r="E589"/>
  <c r="F589" s="1"/>
  <c r="E588"/>
  <c r="F586"/>
  <c r="C585"/>
  <c r="C584" s="1"/>
  <c r="C582"/>
  <c r="C581"/>
  <c r="D581" s="1"/>
  <c r="F580"/>
  <c r="C579"/>
  <c r="C578"/>
  <c r="D578" s="1"/>
  <c r="F577"/>
  <c r="F575"/>
  <c r="J571"/>
  <c r="K571" s="1"/>
  <c r="I570"/>
  <c r="J570" s="1"/>
  <c r="E569"/>
  <c r="F569" s="1"/>
  <c r="F568"/>
  <c r="F567"/>
  <c r="E566"/>
  <c r="F566" s="1"/>
  <c r="I565"/>
  <c r="J565" s="1"/>
  <c r="K565" s="1"/>
  <c r="F565"/>
  <c r="I564"/>
  <c r="K564" s="1"/>
  <c r="F564"/>
  <c r="I563"/>
  <c r="J563" s="1"/>
  <c r="F563"/>
  <c r="E562"/>
  <c r="F562" s="1"/>
  <c r="C562"/>
  <c r="C561" s="1"/>
  <c r="H559"/>
  <c r="I559" s="1"/>
  <c r="K559" s="1"/>
  <c r="C559"/>
  <c r="H558"/>
  <c r="I558" s="1"/>
  <c r="C558"/>
  <c r="F557"/>
  <c r="H556"/>
  <c r="C556"/>
  <c r="D556" s="1"/>
  <c r="H555"/>
  <c r="I555" s="1"/>
  <c r="J555" s="1"/>
  <c r="C555"/>
  <c r="D555" s="1"/>
  <c r="N554"/>
  <c r="F554"/>
  <c r="F552"/>
  <c r="F550"/>
  <c r="F549"/>
  <c r="F548"/>
  <c r="F547"/>
  <c r="F546"/>
  <c r="F544"/>
  <c r="F543"/>
  <c r="K542"/>
  <c r="J542"/>
  <c r="I542"/>
  <c r="F542"/>
  <c r="F541"/>
  <c r="I533"/>
  <c r="E533"/>
  <c r="F533" s="1"/>
  <c r="I532"/>
  <c r="I529" s="1"/>
  <c r="I528" s="1"/>
  <c r="F532"/>
  <c r="F531"/>
  <c r="I530"/>
  <c r="E530"/>
  <c r="K529"/>
  <c r="J529"/>
  <c r="C529"/>
  <c r="K528"/>
  <c r="H526"/>
  <c r="I526" s="1"/>
  <c r="J526" s="1"/>
  <c r="K526" s="1"/>
  <c r="C526"/>
  <c r="H525"/>
  <c r="I527" s="1"/>
  <c r="J527" s="1"/>
  <c r="K527" s="1"/>
  <c r="C525"/>
  <c r="D525" s="1"/>
  <c r="F522"/>
  <c r="F521"/>
  <c r="F518"/>
  <c r="F517"/>
  <c r="F516"/>
  <c r="F515"/>
  <c r="F514"/>
  <c r="K513"/>
  <c r="J513"/>
  <c r="I513"/>
  <c r="E513"/>
  <c r="F513" s="1"/>
  <c r="C513"/>
  <c r="F512"/>
  <c r="F509"/>
  <c r="F508"/>
  <c r="F507"/>
  <c r="F506"/>
  <c r="F505"/>
  <c r="F504"/>
  <c r="K503"/>
  <c r="K502" s="1"/>
  <c r="J503"/>
  <c r="J502" s="1"/>
  <c r="K245" i="26" s="1"/>
  <c r="J245" s="1"/>
  <c r="C245" s="1"/>
  <c r="I503" i="82"/>
  <c r="I502" s="1"/>
  <c r="E503"/>
  <c r="F503" s="1"/>
  <c r="C503"/>
  <c r="C502" s="1"/>
  <c r="F489"/>
  <c r="F488"/>
  <c r="F487"/>
  <c r="F486"/>
  <c r="F485"/>
  <c r="F484"/>
  <c r="F483"/>
  <c r="K482"/>
  <c r="J482"/>
  <c r="K244" i="26" s="1"/>
  <c r="J244" s="1"/>
  <c r="C244" s="1"/>
  <c r="I482" i="82"/>
  <c r="E482"/>
  <c r="F482" s="1"/>
  <c r="C482"/>
  <c r="F481"/>
  <c r="F480"/>
  <c r="F479"/>
  <c r="F477"/>
  <c r="F476"/>
  <c r="F474"/>
  <c r="F473"/>
  <c r="K472"/>
  <c r="J472"/>
  <c r="K243" i="26" s="1"/>
  <c r="J243" s="1"/>
  <c r="C243" s="1"/>
  <c r="I472" i="82"/>
  <c r="E472"/>
  <c r="F472" s="1"/>
  <c r="F470"/>
  <c r="F469"/>
  <c r="F468"/>
  <c r="K467"/>
  <c r="J467"/>
  <c r="I467"/>
  <c r="E467"/>
  <c r="F467" s="1"/>
  <c r="C467"/>
  <c r="F466"/>
  <c r="F465"/>
  <c r="F464"/>
  <c r="K463"/>
  <c r="J463"/>
  <c r="I463"/>
  <c r="E463"/>
  <c r="C463"/>
  <c r="F462"/>
  <c r="F461"/>
  <c r="F460"/>
  <c r="K459"/>
  <c r="J459"/>
  <c r="J458" s="1"/>
  <c r="I459"/>
  <c r="E459"/>
  <c r="F459" s="1"/>
  <c r="C459"/>
  <c r="C458" s="1"/>
  <c r="F457"/>
  <c r="E456"/>
  <c r="F456" s="1"/>
  <c r="C455"/>
  <c r="G454"/>
  <c r="F451"/>
  <c r="F450"/>
  <c r="F449"/>
  <c r="F448"/>
  <c r="F447"/>
  <c r="F446"/>
  <c r="F445"/>
  <c r="F444"/>
  <c r="F443"/>
  <c r="F442"/>
  <c r="E441"/>
  <c r="F441" s="1"/>
  <c r="E440"/>
  <c r="F440" s="1"/>
  <c r="F439"/>
  <c r="K438"/>
  <c r="J438"/>
  <c r="P306" i="26" s="1"/>
  <c r="J306" s="1"/>
  <c r="C306" s="1"/>
  <c r="I438" i="82"/>
  <c r="C438"/>
  <c r="F437"/>
  <c r="F436"/>
  <c r="F435"/>
  <c r="F434"/>
  <c r="F433"/>
  <c r="I432"/>
  <c r="E432"/>
  <c r="F432" s="1"/>
  <c r="F431"/>
  <c r="I430"/>
  <c r="E430"/>
  <c r="K429"/>
  <c r="J429"/>
  <c r="P302" i="26" s="1"/>
  <c r="J302" s="1"/>
  <c r="C302" s="1"/>
  <c r="C429" i="82"/>
  <c r="E428"/>
  <c r="F428" s="1"/>
  <c r="F427"/>
  <c r="F426"/>
  <c r="K425"/>
  <c r="K422" s="1"/>
  <c r="J425"/>
  <c r="J422" s="1"/>
  <c r="P300" i="26" s="1"/>
  <c r="J300" s="1"/>
  <c r="C300" s="1"/>
  <c r="I425" i="82"/>
  <c r="F425"/>
  <c r="F424"/>
  <c r="I423"/>
  <c r="F423"/>
  <c r="E422"/>
  <c r="F422" s="1"/>
  <c r="C422"/>
  <c r="F421"/>
  <c r="F420"/>
  <c r="K419"/>
  <c r="J419"/>
  <c r="I419"/>
  <c r="F419"/>
  <c r="F418"/>
  <c r="K417"/>
  <c r="J417"/>
  <c r="I417"/>
  <c r="F417"/>
  <c r="E416"/>
  <c r="F416" s="1"/>
  <c r="C416"/>
  <c r="E415"/>
  <c r="F415" s="1"/>
  <c r="E414"/>
  <c r="F414" s="1"/>
  <c r="I413"/>
  <c r="E413"/>
  <c r="F413" s="1"/>
  <c r="E412"/>
  <c r="F412" s="1"/>
  <c r="I411"/>
  <c r="I410" s="1"/>
  <c r="E411"/>
  <c r="K410"/>
  <c r="J410"/>
  <c r="P299" i="26" s="1"/>
  <c r="J299" s="1"/>
  <c r="C299" s="1"/>
  <c r="C410" i="82"/>
  <c r="F406"/>
  <c r="F405"/>
  <c r="F404"/>
  <c r="F403"/>
  <c r="F402"/>
  <c r="F401"/>
  <c r="F399"/>
  <c r="F398"/>
  <c r="F397"/>
  <c r="F396"/>
  <c r="F395"/>
  <c r="F394"/>
  <c r="F393"/>
  <c r="I392"/>
  <c r="F392"/>
  <c r="F391"/>
  <c r="I390"/>
  <c r="F390"/>
  <c r="K389"/>
  <c r="J389"/>
  <c r="P297" i="26" s="1"/>
  <c r="J297" s="1"/>
  <c r="C297" s="1"/>
  <c r="E389" i="82"/>
  <c r="F389" s="1"/>
  <c r="C389"/>
  <c r="F386"/>
  <c r="F385"/>
  <c r="F384"/>
  <c r="E383"/>
  <c r="F383" s="1"/>
  <c r="K382"/>
  <c r="J382"/>
  <c r="I382"/>
  <c r="C382"/>
  <c r="F379"/>
  <c r="F378"/>
  <c r="F377"/>
  <c r="F376"/>
  <c r="K375"/>
  <c r="J375"/>
  <c r="J372" s="1"/>
  <c r="J371" s="1"/>
  <c r="P295" i="26" s="1"/>
  <c r="J295" s="1"/>
  <c r="I375" i="82"/>
  <c r="F375"/>
  <c r="F374"/>
  <c r="K373"/>
  <c r="J373"/>
  <c r="I373"/>
  <c r="F373"/>
  <c r="E372"/>
  <c r="F372" s="1"/>
  <c r="C372"/>
  <c r="C371" s="1"/>
  <c r="F368"/>
  <c r="F367"/>
  <c r="F366"/>
  <c r="F365"/>
  <c r="F364"/>
  <c r="F363"/>
  <c r="F362"/>
  <c r="F361"/>
  <c r="K360"/>
  <c r="J360"/>
  <c r="P296" i="26" s="1"/>
  <c r="J296" s="1"/>
  <c r="I360" i="82"/>
  <c r="F360"/>
  <c r="F359"/>
  <c r="F358"/>
  <c r="I357"/>
  <c r="I356" s="1"/>
  <c r="F357"/>
  <c r="E356"/>
  <c r="F356" s="1"/>
  <c r="C356"/>
  <c r="F355"/>
  <c r="F354"/>
  <c r="F353"/>
  <c r="F352"/>
  <c r="F351"/>
  <c r="F350"/>
  <c r="F349"/>
  <c r="K348"/>
  <c r="K345" s="1"/>
  <c r="J348"/>
  <c r="I348"/>
  <c r="E348"/>
  <c r="F347"/>
  <c r="I346"/>
  <c r="F346"/>
  <c r="J345"/>
  <c r="P294" i="26" s="1"/>
  <c r="J294" s="1"/>
  <c r="C294" s="1"/>
  <c r="H345" i="82"/>
  <c r="G345"/>
  <c r="C345"/>
  <c r="F344"/>
  <c r="F342"/>
  <c r="F341"/>
  <c r="E340"/>
  <c r="F340" s="1"/>
  <c r="K339"/>
  <c r="J339"/>
  <c r="I339"/>
  <c r="E339"/>
  <c r="E338"/>
  <c r="F338" s="1"/>
  <c r="K337"/>
  <c r="J337"/>
  <c r="I337"/>
  <c r="I335" s="1"/>
  <c r="E337"/>
  <c r="F337" s="1"/>
  <c r="C336"/>
  <c r="C335" s="1"/>
  <c r="F334"/>
  <c r="F333"/>
  <c r="F332"/>
  <c r="F331"/>
  <c r="F330"/>
  <c r="F329"/>
  <c r="F328"/>
  <c r="F327"/>
  <c r="E326"/>
  <c r="F326" s="1"/>
  <c r="E325"/>
  <c r="F325" s="1"/>
  <c r="K324"/>
  <c r="K320" s="1"/>
  <c r="J324"/>
  <c r="J320" s="1"/>
  <c r="P298" i="26" s="1"/>
  <c r="J298" s="1"/>
  <c r="I324" i="82"/>
  <c r="E324"/>
  <c r="F324" s="1"/>
  <c r="E323"/>
  <c r="F323" s="1"/>
  <c r="I322"/>
  <c r="C320"/>
  <c r="F319"/>
  <c r="F318"/>
  <c r="F317"/>
  <c r="F316"/>
  <c r="K315"/>
  <c r="J315"/>
  <c r="I315"/>
  <c r="F315"/>
  <c r="F314"/>
  <c r="K313"/>
  <c r="J313"/>
  <c r="I313"/>
  <c r="F313"/>
  <c r="E312"/>
  <c r="F312" s="1"/>
  <c r="H310"/>
  <c r="I310" s="1"/>
  <c r="J310" s="1"/>
  <c r="K310" s="1"/>
  <c r="C310"/>
  <c r="D310" s="1"/>
  <c r="I309"/>
  <c r="J309" s="1"/>
  <c r="K309" s="1"/>
  <c r="E309"/>
  <c r="F309" s="1"/>
  <c r="H308"/>
  <c r="I308" s="1"/>
  <c r="C308"/>
  <c r="D308" s="1"/>
  <c r="D307" s="1"/>
  <c r="K305"/>
  <c r="K303" s="1"/>
  <c r="J305"/>
  <c r="I305"/>
  <c r="I303" s="1"/>
  <c r="E305"/>
  <c r="F305" s="1"/>
  <c r="F304"/>
  <c r="J303"/>
  <c r="P291" i="26" s="1"/>
  <c r="J291" s="1"/>
  <c r="C291" s="1"/>
  <c r="F300" i="82"/>
  <c r="F299"/>
  <c r="F297"/>
  <c r="F296"/>
  <c r="F295"/>
  <c r="F294"/>
  <c r="K293"/>
  <c r="J293"/>
  <c r="J290" s="1"/>
  <c r="I293"/>
  <c r="F293"/>
  <c r="F292"/>
  <c r="I291"/>
  <c r="I290" s="1"/>
  <c r="F291"/>
  <c r="K290"/>
  <c r="E290"/>
  <c r="F290" s="1"/>
  <c r="H288"/>
  <c r="I288" s="1"/>
  <c r="J288" s="1"/>
  <c r="K288" s="1"/>
  <c r="C288"/>
  <c r="I287"/>
  <c r="J287" s="1"/>
  <c r="K287" s="1"/>
  <c r="C287"/>
  <c r="D287" s="1"/>
  <c r="H286"/>
  <c r="C286"/>
  <c r="D286" s="1"/>
  <c r="F278"/>
  <c r="F277"/>
  <c r="F275"/>
  <c r="E274"/>
  <c r="F274" s="1"/>
  <c r="E273"/>
  <c r="F273" s="1"/>
  <c r="I272"/>
  <c r="E272"/>
  <c r="F272" s="1"/>
  <c r="E271"/>
  <c r="F271" s="1"/>
  <c r="I270"/>
  <c r="E270"/>
  <c r="J269"/>
  <c r="H267"/>
  <c r="I267" s="1"/>
  <c r="J267" s="1"/>
  <c r="K267" s="1"/>
  <c r="C267"/>
  <c r="D267" s="1"/>
  <c r="E267" s="1"/>
  <c r="F267" s="1"/>
  <c r="I266"/>
  <c r="J266" s="1"/>
  <c r="K266" s="1"/>
  <c r="C266"/>
  <c r="D266" s="1"/>
  <c r="H265"/>
  <c r="C265"/>
  <c r="D265" s="1"/>
  <c r="F254"/>
  <c r="F253"/>
  <c r="F252"/>
  <c r="F251"/>
  <c r="F250"/>
  <c r="F249"/>
  <c r="F247"/>
  <c r="F246"/>
  <c r="F245"/>
  <c r="K244"/>
  <c r="J244"/>
  <c r="J241" s="1"/>
  <c r="I244"/>
  <c r="F244"/>
  <c r="F243"/>
  <c r="I242"/>
  <c r="F242"/>
  <c r="E241"/>
  <c r="F241" s="1"/>
  <c r="C241"/>
  <c r="H239"/>
  <c r="I239" s="1"/>
  <c r="J239" s="1"/>
  <c r="K239" s="1"/>
  <c r="C239"/>
  <c r="I238"/>
  <c r="J238" s="1"/>
  <c r="K238" s="1"/>
  <c r="E238"/>
  <c r="F238" s="1"/>
  <c r="H237"/>
  <c r="I237" s="1"/>
  <c r="C237"/>
  <c r="D237" s="1"/>
  <c r="F230"/>
  <c r="F229"/>
  <c r="F227"/>
  <c r="F226"/>
  <c r="F225"/>
  <c r="F224"/>
  <c r="F223"/>
  <c r="F222"/>
  <c r="F221"/>
  <c r="F220"/>
  <c r="F219"/>
  <c r="F218"/>
  <c r="F216"/>
  <c r="E215"/>
  <c r="F215" s="1"/>
  <c r="E214"/>
  <c r="F214" s="1"/>
  <c r="I213"/>
  <c r="E213"/>
  <c r="F213" s="1"/>
  <c r="E212"/>
  <c r="F212" s="1"/>
  <c r="I211"/>
  <c r="E211"/>
  <c r="F211" s="1"/>
  <c r="K210"/>
  <c r="J210"/>
  <c r="H208"/>
  <c r="I208" s="1"/>
  <c r="J208" s="1"/>
  <c r="C208"/>
  <c r="D208" s="1"/>
  <c r="I207"/>
  <c r="J207" s="1"/>
  <c r="K207" s="1"/>
  <c r="C207"/>
  <c r="H206"/>
  <c r="I209" s="1"/>
  <c r="J209" s="1"/>
  <c r="K209" s="1"/>
  <c r="C206"/>
  <c r="D206" s="1"/>
  <c r="F200"/>
  <c r="F199"/>
  <c r="F198"/>
  <c r="F197"/>
  <c r="F196"/>
  <c r="F194"/>
  <c r="F193"/>
  <c r="F192"/>
  <c r="F191"/>
  <c r="F190"/>
  <c r="F189"/>
  <c r="F188"/>
  <c r="F187"/>
  <c r="F186"/>
  <c r="F185"/>
  <c r="F184"/>
  <c r="F183"/>
  <c r="F182"/>
  <c r="F181"/>
  <c r="F180"/>
  <c r="F178"/>
  <c r="F175"/>
  <c r="F174"/>
  <c r="I173"/>
  <c r="F173"/>
  <c r="K172"/>
  <c r="J172"/>
  <c r="I172"/>
  <c r="F172"/>
  <c r="F171"/>
  <c r="K170"/>
  <c r="J170"/>
  <c r="I170"/>
  <c r="I169" s="1"/>
  <c r="F170"/>
  <c r="E169"/>
  <c r="F169" s="1"/>
  <c r="C169"/>
  <c r="H167"/>
  <c r="I167" s="1"/>
  <c r="J167" s="1"/>
  <c r="K167" s="1"/>
  <c r="C167"/>
  <c r="I166"/>
  <c r="J166" s="1"/>
  <c r="K166" s="1"/>
  <c r="C166"/>
  <c r="D166" s="1"/>
  <c r="H165"/>
  <c r="C165"/>
  <c r="F150"/>
  <c r="F149"/>
  <c r="F148"/>
  <c r="F147"/>
  <c r="F146"/>
  <c r="F145"/>
  <c r="F144"/>
  <c r="F143"/>
  <c r="F142"/>
  <c r="F141"/>
  <c r="F140"/>
  <c r="F139"/>
  <c r="F138"/>
  <c r="F137"/>
  <c r="F136"/>
  <c r="K135"/>
  <c r="J135"/>
  <c r="F135"/>
  <c r="F134"/>
  <c r="F132"/>
  <c r="F131"/>
  <c r="F130"/>
  <c r="F129"/>
  <c r="F128"/>
  <c r="F127"/>
  <c r="F126"/>
  <c r="F125"/>
  <c r="F123"/>
  <c r="I122"/>
  <c r="F122"/>
  <c r="I121"/>
  <c r="F121"/>
  <c r="K120"/>
  <c r="J120"/>
  <c r="F120"/>
  <c r="F118"/>
  <c r="I117"/>
  <c r="F117"/>
  <c r="N116"/>
  <c r="J116"/>
  <c r="E116"/>
  <c r="F116" s="1"/>
  <c r="K114"/>
  <c r="F114"/>
  <c r="I113"/>
  <c r="J113" s="1"/>
  <c r="K113" s="1"/>
  <c r="E113"/>
  <c r="F113" s="1"/>
  <c r="H112"/>
  <c r="I112" s="1"/>
  <c r="J112" s="1"/>
  <c r="K112" s="1"/>
  <c r="C112"/>
  <c r="H111"/>
  <c r="I111" s="1"/>
  <c r="J111" s="1"/>
  <c r="K111" s="1"/>
  <c r="C111"/>
  <c r="H110"/>
  <c r="I110" s="1"/>
  <c r="J110" s="1"/>
  <c r="K110" s="1"/>
  <c r="E110"/>
  <c r="F110" s="1"/>
  <c r="H109"/>
  <c r="I109" s="1"/>
  <c r="J109" s="1"/>
  <c r="K109" s="1"/>
  <c r="H108"/>
  <c r="I108" s="1"/>
  <c r="J108" s="1"/>
  <c r="C108"/>
  <c r="N107"/>
  <c r="N106"/>
  <c r="I104"/>
  <c r="I103"/>
  <c r="F102"/>
  <c r="F101"/>
  <c r="F100"/>
  <c r="F99"/>
  <c r="F98"/>
  <c r="F97"/>
  <c r="F96"/>
  <c r="F95"/>
  <c r="F94"/>
  <c r="F93"/>
  <c r="F92"/>
  <c r="F91"/>
  <c r="F90"/>
  <c r="F89"/>
  <c r="F88"/>
  <c r="F87"/>
  <c r="F86"/>
  <c r="F85"/>
  <c r="I84"/>
  <c r="F84"/>
  <c r="E82"/>
  <c r="F82" s="1"/>
  <c r="F81"/>
  <c r="E80"/>
  <c r="F80" s="1"/>
  <c r="E79"/>
  <c r="F79" s="1"/>
  <c r="I78"/>
  <c r="E78"/>
  <c r="F78" s="1"/>
  <c r="F77"/>
  <c r="K76"/>
  <c r="J76"/>
  <c r="P284" i="26" s="1"/>
  <c r="J284" s="1"/>
  <c r="C284" s="1"/>
  <c r="K75" i="82"/>
  <c r="J75"/>
  <c r="I75"/>
  <c r="F69"/>
  <c r="F68"/>
  <c r="F67"/>
  <c r="F66"/>
  <c r="F65"/>
  <c r="F64"/>
  <c r="I63"/>
  <c r="F63"/>
  <c r="F62"/>
  <c r="F61"/>
  <c r="I60"/>
  <c r="E60"/>
  <c r="F60" s="1"/>
  <c r="F59"/>
  <c r="F58"/>
  <c r="I57"/>
  <c r="F57"/>
  <c r="F56"/>
  <c r="F55"/>
  <c r="F54"/>
  <c r="F53"/>
  <c r="F52"/>
  <c r="F51"/>
  <c r="F50"/>
  <c r="F49"/>
  <c r="F48"/>
  <c r="F47"/>
  <c r="F46"/>
  <c r="F45"/>
  <c r="F44"/>
  <c r="F43"/>
  <c r="F42"/>
  <c r="F41"/>
  <c r="I40"/>
  <c r="E40"/>
  <c r="F40" s="1"/>
  <c r="F39"/>
  <c r="F38"/>
  <c r="F37"/>
  <c r="F36"/>
  <c r="F35"/>
  <c r="E34"/>
  <c r="K33"/>
  <c r="J33"/>
  <c r="I33"/>
  <c r="F33"/>
  <c r="F32"/>
  <c r="K30"/>
  <c r="J30"/>
  <c r="F30"/>
  <c r="K29"/>
  <c r="K28" s="1"/>
  <c r="J29"/>
  <c r="J28" s="1"/>
  <c r="I29"/>
  <c r="F29"/>
  <c r="L28"/>
  <c r="L19" s="1"/>
  <c r="L18" s="1"/>
  <c r="L952" s="1"/>
  <c r="H26"/>
  <c r="I26" s="1"/>
  <c r="J26" s="1"/>
  <c r="K26" s="1"/>
  <c r="C26"/>
  <c r="H25"/>
  <c r="I25" s="1"/>
  <c r="J25" s="1"/>
  <c r="K25" s="1"/>
  <c r="C25"/>
  <c r="D25" s="1"/>
  <c r="H24"/>
  <c r="I24" s="1"/>
  <c r="J24" s="1"/>
  <c r="K24" s="1"/>
  <c r="H23"/>
  <c r="C23"/>
  <c r="D23" s="1"/>
  <c r="F21"/>
  <c r="F20"/>
  <c r="I240" i="26" l="1"/>
  <c r="I239" s="1"/>
  <c r="I327" s="1"/>
  <c r="I116" i="82"/>
  <c r="D115"/>
  <c r="J169"/>
  <c r="I320"/>
  <c r="D639"/>
  <c r="C884"/>
  <c r="D884"/>
  <c r="D562"/>
  <c r="D561" s="1"/>
  <c r="D502"/>
  <c r="D371"/>
  <c r="D28"/>
  <c r="K242" i="26"/>
  <c r="J242" s="1"/>
  <c r="C242" s="1"/>
  <c r="F674" i="82"/>
  <c r="D345"/>
  <c r="D116"/>
  <c r="F455"/>
  <c r="K641"/>
  <c r="V318" i="26"/>
  <c r="J318" s="1"/>
  <c r="C318" s="1"/>
  <c r="G240"/>
  <c r="G239" s="1"/>
  <c r="G327" s="1"/>
  <c r="H240"/>
  <c r="H239" s="1"/>
  <c r="H327" s="1"/>
  <c r="R327"/>
  <c r="J316"/>
  <c r="C316" s="1"/>
  <c r="C315"/>
  <c r="J264"/>
  <c r="E282"/>
  <c r="C265"/>
  <c r="L327"/>
  <c r="C295"/>
  <c r="C298"/>
  <c r="D258"/>
  <c r="C241"/>
  <c r="D263"/>
  <c r="C296"/>
  <c r="D282"/>
  <c r="J311"/>
  <c r="C312"/>
  <c r="J255"/>
  <c r="J254" s="1"/>
  <c r="E263"/>
  <c r="Q311"/>
  <c r="Q327" s="1"/>
  <c r="J326"/>
  <c r="C326" s="1"/>
  <c r="E737" i="82"/>
  <c r="D736"/>
  <c r="D735" s="1"/>
  <c r="D264"/>
  <c r="D647"/>
  <c r="D640" s="1"/>
  <c r="E286"/>
  <c r="F286" s="1"/>
  <c r="E578"/>
  <c r="D741"/>
  <c r="D822"/>
  <c r="D821" s="1"/>
  <c r="E746"/>
  <c r="E827"/>
  <c r="F827" s="1"/>
  <c r="D827"/>
  <c r="D802"/>
  <c r="E802" s="1"/>
  <c r="F802" s="1"/>
  <c r="D766"/>
  <c r="D765" s="1"/>
  <c r="D750"/>
  <c r="E750" s="1"/>
  <c r="F750" s="1"/>
  <c r="D746"/>
  <c r="D744" s="1"/>
  <c r="D635"/>
  <c r="E635" s="1"/>
  <c r="F635" s="1"/>
  <c r="D605"/>
  <c r="E605" s="1"/>
  <c r="F605" s="1"/>
  <c r="D583"/>
  <c r="D560"/>
  <c r="D527"/>
  <c r="E527" s="1"/>
  <c r="F527" s="1"/>
  <c r="D240"/>
  <c r="D108"/>
  <c r="I268"/>
  <c r="J268" s="1"/>
  <c r="K268" s="1"/>
  <c r="D739"/>
  <c r="E739" s="1"/>
  <c r="F739" s="1"/>
  <c r="D712"/>
  <c r="D711" s="1"/>
  <c r="D710" s="1"/>
  <c r="D579"/>
  <c r="E579" s="1"/>
  <c r="D288"/>
  <c r="E288" s="1"/>
  <c r="D209"/>
  <c r="D167"/>
  <c r="E167" s="1"/>
  <c r="F167" s="1"/>
  <c r="D26"/>
  <c r="D22" s="1"/>
  <c r="D19" s="1"/>
  <c r="E268"/>
  <c r="F268" s="1"/>
  <c r="E310"/>
  <c r="F310" s="1"/>
  <c r="E767"/>
  <c r="F767" s="1"/>
  <c r="I769"/>
  <c r="E803"/>
  <c r="F803" s="1"/>
  <c r="E828"/>
  <c r="F828" s="1"/>
  <c r="E853"/>
  <c r="F853" s="1"/>
  <c r="I873"/>
  <c r="D854"/>
  <c r="D850" s="1"/>
  <c r="D849" s="1"/>
  <c r="D848" s="1"/>
  <c r="D829"/>
  <c r="D804"/>
  <c r="E804" s="1"/>
  <c r="F804" s="1"/>
  <c r="D768"/>
  <c r="E768" s="1"/>
  <c r="F768" s="1"/>
  <c r="D558"/>
  <c r="D553" s="1"/>
  <c r="D551" s="1"/>
  <c r="D311"/>
  <c r="D306" s="1"/>
  <c r="D289"/>
  <c r="E289" s="1"/>
  <c r="F289" s="1"/>
  <c r="D168"/>
  <c r="E168" s="1"/>
  <c r="F168" s="1"/>
  <c r="D111"/>
  <c r="E111" s="1"/>
  <c r="F111" s="1"/>
  <c r="D27"/>
  <c r="E25"/>
  <c r="F25" s="1"/>
  <c r="E206"/>
  <c r="F206" s="1"/>
  <c r="E208"/>
  <c r="F208" s="1"/>
  <c r="E556"/>
  <c r="F556" s="1"/>
  <c r="E581"/>
  <c r="F581" s="1"/>
  <c r="E639"/>
  <c r="F639" s="1"/>
  <c r="D855"/>
  <c r="E855" s="1"/>
  <c r="F855" s="1"/>
  <c r="D825"/>
  <c r="E825" s="1"/>
  <c r="F825" s="1"/>
  <c r="D800"/>
  <c r="D749"/>
  <c r="E749" s="1"/>
  <c r="F749" s="1"/>
  <c r="D634"/>
  <c r="D633" s="1"/>
  <c r="D632" s="1"/>
  <c r="D604"/>
  <c r="D602" s="1"/>
  <c r="D601" s="1"/>
  <c r="D600" s="1"/>
  <c r="D599" s="1"/>
  <c r="D582"/>
  <c r="E582" s="1"/>
  <c r="F582" s="1"/>
  <c r="D559"/>
  <c r="E559" s="1"/>
  <c r="F559" s="1"/>
  <c r="D526"/>
  <c r="D524" s="1"/>
  <c r="D523" s="1"/>
  <c r="D268"/>
  <c r="D239"/>
  <c r="D236" s="1"/>
  <c r="D235" s="1"/>
  <c r="D207"/>
  <c r="E207" s="1"/>
  <c r="F207" s="1"/>
  <c r="D165"/>
  <c r="E165" s="1"/>
  <c r="F165" s="1"/>
  <c r="D112"/>
  <c r="E112" s="1"/>
  <c r="F112" s="1"/>
  <c r="I311"/>
  <c r="J311" s="1"/>
  <c r="K311" s="1"/>
  <c r="E561"/>
  <c r="F561" s="1"/>
  <c r="J673"/>
  <c r="J855"/>
  <c r="K855" s="1"/>
  <c r="K873"/>
  <c r="K884"/>
  <c r="I206"/>
  <c r="J206" s="1"/>
  <c r="K206" s="1"/>
  <c r="J335"/>
  <c r="P293" i="26" s="1"/>
  <c r="J293" s="1"/>
  <c r="C293" s="1"/>
  <c r="I673" i="82"/>
  <c r="I422"/>
  <c r="I76"/>
  <c r="G952"/>
  <c r="E115"/>
  <c r="F115" s="1"/>
  <c r="K116"/>
  <c r="I210"/>
  <c r="I289"/>
  <c r="J289" s="1"/>
  <c r="K289" s="1"/>
  <c r="J416"/>
  <c r="P301" i="26" s="1"/>
  <c r="J301" s="1"/>
  <c r="C301" s="1"/>
  <c r="I458" i="82"/>
  <c r="I751"/>
  <c r="I791"/>
  <c r="E932"/>
  <c r="N108"/>
  <c r="I168"/>
  <c r="J168" s="1"/>
  <c r="K168" s="1"/>
  <c r="K312"/>
  <c r="J312"/>
  <c r="I372"/>
  <c r="I371" s="1"/>
  <c r="I416"/>
  <c r="K458"/>
  <c r="I562"/>
  <c r="K648"/>
  <c r="K647" s="1"/>
  <c r="E714"/>
  <c r="F714" s="1"/>
  <c r="C734"/>
  <c r="C732" s="1"/>
  <c r="C731" s="1"/>
  <c r="I750"/>
  <c r="J750" s="1"/>
  <c r="K750" s="1"/>
  <c r="E265"/>
  <c r="F265" s="1"/>
  <c r="I389"/>
  <c r="K416"/>
  <c r="E560"/>
  <c r="F560" s="1"/>
  <c r="I739"/>
  <c r="J739" s="1"/>
  <c r="K739" s="1"/>
  <c r="K751"/>
  <c r="K769"/>
  <c r="E829"/>
  <c r="F829" s="1"/>
  <c r="I429"/>
  <c r="F648"/>
  <c r="E647"/>
  <c r="F647" s="1"/>
  <c r="I744"/>
  <c r="J745"/>
  <c r="K745" s="1"/>
  <c r="E266"/>
  <c r="F266" s="1"/>
  <c r="E287"/>
  <c r="F287" s="1"/>
  <c r="E745"/>
  <c r="F745" s="1"/>
  <c r="E748"/>
  <c r="F748" s="1"/>
  <c r="I28"/>
  <c r="E210"/>
  <c r="F210" s="1"/>
  <c r="I241"/>
  <c r="I265"/>
  <c r="J265" s="1"/>
  <c r="I269"/>
  <c r="I345"/>
  <c r="E458"/>
  <c r="F458" s="1"/>
  <c r="E502"/>
  <c r="F502" s="1"/>
  <c r="E555"/>
  <c r="F555" s="1"/>
  <c r="I566"/>
  <c r="E587"/>
  <c r="E585" s="1"/>
  <c r="F585" s="1"/>
  <c r="C647"/>
  <c r="C640" s="1"/>
  <c r="C628" s="1"/>
  <c r="C627" s="1"/>
  <c r="C626" s="1"/>
  <c r="F651"/>
  <c r="E712"/>
  <c r="F712" s="1"/>
  <c r="E742"/>
  <c r="F742" s="1"/>
  <c r="F76"/>
  <c r="I286"/>
  <c r="I285" s="1"/>
  <c r="I312"/>
  <c r="K335"/>
  <c r="E455"/>
  <c r="N525"/>
  <c r="O525" s="1"/>
  <c r="K623"/>
  <c r="K622" s="1"/>
  <c r="I737"/>
  <c r="I736" s="1"/>
  <c r="I768"/>
  <c r="J768" s="1"/>
  <c r="K768" s="1"/>
  <c r="J804"/>
  <c r="K804" s="1"/>
  <c r="E854"/>
  <c r="F854" s="1"/>
  <c r="I877"/>
  <c r="I884"/>
  <c r="I236"/>
  <c r="I560"/>
  <c r="K560" s="1"/>
  <c r="I647"/>
  <c r="J825"/>
  <c r="K825" s="1"/>
  <c r="F932"/>
  <c r="I27"/>
  <c r="J27" s="1"/>
  <c r="K27" s="1"/>
  <c r="E209"/>
  <c r="F209" s="1"/>
  <c r="K372"/>
  <c r="K371" s="1"/>
  <c r="E410"/>
  <c r="F410" s="1"/>
  <c r="J528"/>
  <c r="E583"/>
  <c r="F583" s="1"/>
  <c r="J606"/>
  <c r="I639"/>
  <c r="J639" s="1"/>
  <c r="K639" s="1"/>
  <c r="I641"/>
  <c r="J648"/>
  <c r="F715"/>
  <c r="K108"/>
  <c r="K107" s="1"/>
  <c r="J107"/>
  <c r="E23"/>
  <c r="E28"/>
  <c r="F28" s="1"/>
  <c r="F34"/>
  <c r="E166"/>
  <c r="F166" s="1"/>
  <c r="K208"/>
  <c r="F430"/>
  <c r="E429"/>
  <c r="F429" s="1"/>
  <c r="E529"/>
  <c r="E528" s="1"/>
  <c r="F528" s="1"/>
  <c r="F530"/>
  <c r="F529" s="1"/>
  <c r="K555"/>
  <c r="F578"/>
  <c r="N527"/>
  <c r="E27"/>
  <c r="F27" s="1"/>
  <c r="E240"/>
  <c r="F240" s="1"/>
  <c r="F270"/>
  <c r="E269"/>
  <c r="F269" s="1"/>
  <c r="I307"/>
  <c r="J308"/>
  <c r="N456"/>
  <c r="K570"/>
  <c r="K566" s="1"/>
  <c r="J566"/>
  <c r="I23"/>
  <c r="E76"/>
  <c r="I107"/>
  <c r="I115"/>
  <c r="J115" s="1"/>
  <c r="K115" s="1"/>
  <c r="E308"/>
  <c r="F348"/>
  <c r="F345" s="1"/>
  <c r="E345"/>
  <c r="N558"/>
  <c r="K558"/>
  <c r="J562"/>
  <c r="K563"/>
  <c r="K562" s="1"/>
  <c r="I165"/>
  <c r="J237"/>
  <c r="E264"/>
  <c r="F339"/>
  <c r="E336"/>
  <c r="N595"/>
  <c r="I240"/>
  <c r="J240" s="1"/>
  <c r="K240" s="1"/>
  <c r="I633"/>
  <c r="J634"/>
  <c r="F737"/>
  <c r="E743"/>
  <c r="F743" s="1"/>
  <c r="J877"/>
  <c r="O275" i="26" s="1"/>
  <c r="J275" s="1"/>
  <c r="C275" s="1"/>
  <c r="K878" i="82"/>
  <c r="K877" s="1"/>
  <c r="E303"/>
  <c r="F303" s="1"/>
  <c r="E311"/>
  <c r="F311" s="1"/>
  <c r="E322"/>
  <c r="E382"/>
  <c r="F382" s="1"/>
  <c r="F411"/>
  <c r="E438"/>
  <c r="F438" s="1"/>
  <c r="F463"/>
  <c r="I556"/>
  <c r="I603"/>
  <c r="I932"/>
  <c r="J636"/>
  <c r="K637"/>
  <c r="K636" s="1"/>
  <c r="K790"/>
  <c r="K789" s="1"/>
  <c r="J789"/>
  <c r="O266" i="26" s="1"/>
  <c r="J266" s="1"/>
  <c r="C266" s="1"/>
  <c r="K851" i="82"/>
  <c r="N559"/>
  <c r="E641"/>
  <c r="F642"/>
  <c r="N877"/>
  <c r="N777"/>
  <c r="N800"/>
  <c r="I525"/>
  <c r="K607"/>
  <c r="K606" s="1"/>
  <c r="F637"/>
  <c r="J741"/>
  <c r="K742"/>
  <c r="K741" s="1"/>
  <c r="I636"/>
  <c r="E638"/>
  <c r="F638" s="1"/>
  <c r="J641"/>
  <c r="E713"/>
  <c r="F713" s="1"/>
  <c r="E715"/>
  <c r="I741"/>
  <c r="F746"/>
  <c r="K746"/>
  <c r="K744" s="1"/>
  <c r="I766"/>
  <c r="N778"/>
  <c r="J791"/>
  <c r="O267" i="26" s="1"/>
  <c r="J267" s="1"/>
  <c r="C267" s="1"/>
  <c r="J799" i="82"/>
  <c r="K824"/>
  <c r="K822" s="1"/>
  <c r="F851"/>
  <c r="I853"/>
  <c r="J873"/>
  <c r="O274" i="26" s="1"/>
  <c r="J274" s="1"/>
  <c r="C274" s="1"/>
  <c r="E884" i="82"/>
  <c r="F884" s="1"/>
  <c r="I789"/>
  <c r="O12" i="60"/>
  <c r="P12"/>
  <c r="Q12"/>
  <c r="R12"/>
  <c r="S12"/>
  <c r="T12"/>
  <c r="U12"/>
  <c r="C264" i="26" l="1"/>
  <c r="K640" i="82"/>
  <c r="F288"/>
  <c r="E285"/>
  <c r="I264"/>
  <c r="I205"/>
  <c r="I204" s="1"/>
  <c r="J205"/>
  <c r="J204" s="1"/>
  <c r="P287" i="26" s="1"/>
  <c r="J287" s="1"/>
  <c r="C287" s="1"/>
  <c r="I284" i="82"/>
  <c r="E526"/>
  <c r="F526" s="1"/>
  <c r="E604"/>
  <c r="F604" s="1"/>
  <c r="D285"/>
  <c r="D284" s="1"/>
  <c r="E584"/>
  <c r="F584" s="1"/>
  <c r="I735"/>
  <c r="E634"/>
  <c r="D263"/>
  <c r="K205"/>
  <c r="K204" s="1"/>
  <c r="J647"/>
  <c r="D797"/>
  <c r="D796" s="1"/>
  <c r="D776" s="1"/>
  <c r="V327" i="26"/>
  <c r="C311"/>
  <c r="D240"/>
  <c r="C240" s="1"/>
  <c r="E240"/>
  <c r="E239" s="1"/>
  <c r="E327" s="1"/>
  <c r="C255"/>
  <c r="F579" i="82"/>
  <c r="E576"/>
  <c r="E574" s="1"/>
  <c r="F574" s="1"/>
  <c r="I740"/>
  <c r="E239"/>
  <c r="F239" s="1"/>
  <c r="E26"/>
  <c r="F26" s="1"/>
  <c r="E558"/>
  <c r="F558" s="1"/>
  <c r="D576"/>
  <c r="D574" s="1"/>
  <c r="D205"/>
  <c r="D204" s="1"/>
  <c r="E800"/>
  <c r="F800" s="1"/>
  <c r="D747"/>
  <c r="E747" s="1"/>
  <c r="F747" s="1"/>
  <c r="D764"/>
  <c r="D763"/>
  <c r="D520"/>
  <c r="D519"/>
  <c r="E205"/>
  <c r="F205" s="1"/>
  <c r="D107"/>
  <c r="D106" s="1"/>
  <c r="D105" s="1"/>
  <c r="E108"/>
  <c r="D164"/>
  <c r="D163" s="1"/>
  <c r="D628"/>
  <c r="D627" s="1"/>
  <c r="D626" s="1"/>
  <c r="D740"/>
  <c r="D734" s="1"/>
  <c r="D732" s="1"/>
  <c r="D731" s="1"/>
  <c r="K821"/>
  <c r="I306"/>
  <c r="E744"/>
  <c r="F744" s="1"/>
  <c r="E741"/>
  <c r="E850"/>
  <c r="E824"/>
  <c r="E822" s="1"/>
  <c r="J286"/>
  <c r="J285" s="1"/>
  <c r="J284" s="1"/>
  <c r="P290" i="26" s="1"/>
  <c r="J290" s="1"/>
  <c r="C290" s="1"/>
  <c r="I263" i="82"/>
  <c r="I561"/>
  <c r="N640"/>
  <c r="J737"/>
  <c r="J736" s="1"/>
  <c r="J735" s="1"/>
  <c r="J640"/>
  <c r="E636"/>
  <c r="F636" s="1"/>
  <c r="I632"/>
  <c r="E204"/>
  <c r="F204" s="1"/>
  <c r="K561"/>
  <c r="J822"/>
  <c r="J821" s="1"/>
  <c r="O270" i="26" s="1"/>
  <c r="J270" s="1"/>
  <c r="C270" s="1"/>
  <c r="I640" i="82"/>
  <c r="J744"/>
  <c r="J740" s="1"/>
  <c r="E766"/>
  <c r="J556"/>
  <c r="I553"/>
  <c r="J766"/>
  <c r="I765"/>
  <c r="J603"/>
  <c r="I602"/>
  <c r="I601" s="1"/>
  <c r="I600" s="1"/>
  <c r="I599" s="1"/>
  <c r="J853"/>
  <c r="I850"/>
  <c r="I849" s="1"/>
  <c r="I848" s="1"/>
  <c r="I776" s="1"/>
  <c r="E525"/>
  <c r="K634"/>
  <c r="K633" s="1"/>
  <c r="K632" s="1"/>
  <c r="K628" s="1"/>
  <c r="K627" s="1"/>
  <c r="K626" s="1"/>
  <c r="J633"/>
  <c r="J632" s="1"/>
  <c r="J307"/>
  <c r="J306" s="1"/>
  <c r="P292" i="26" s="1"/>
  <c r="J292" s="1"/>
  <c r="C292" s="1"/>
  <c r="K308" i="82"/>
  <c r="K307" s="1"/>
  <c r="N797"/>
  <c r="E738"/>
  <c r="J525"/>
  <c r="I524"/>
  <c r="I523" s="1"/>
  <c r="O527"/>
  <c r="K237"/>
  <c r="K236" s="1"/>
  <c r="J236"/>
  <c r="J235" s="1"/>
  <c r="P288" i="26" s="1"/>
  <c r="J288" s="1"/>
  <c r="C288" s="1"/>
  <c r="E371" i="82"/>
  <c r="F371" s="1"/>
  <c r="J106"/>
  <c r="J105" s="1"/>
  <c r="P285" i="26" s="1"/>
  <c r="J285" s="1"/>
  <c r="C285" s="1"/>
  <c r="I734" i="82"/>
  <c r="I732" s="1"/>
  <c r="I235"/>
  <c r="J561"/>
  <c r="I106"/>
  <c r="I105" s="1"/>
  <c r="F336"/>
  <c r="E335"/>
  <c r="F335" s="1"/>
  <c r="J264"/>
  <c r="J263" s="1"/>
  <c r="P289" i="26" s="1"/>
  <c r="J289" s="1"/>
  <c r="C289" s="1"/>
  <c r="K265" i="82"/>
  <c r="K264" s="1"/>
  <c r="K263" s="1"/>
  <c r="E263"/>
  <c r="F263" s="1"/>
  <c r="F264"/>
  <c r="E307"/>
  <c r="F308"/>
  <c r="F285"/>
  <c r="E284"/>
  <c r="F284" s="1"/>
  <c r="E237"/>
  <c r="E711"/>
  <c r="E164"/>
  <c r="F641"/>
  <c r="E640"/>
  <c r="F640" s="1"/>
  <c r="E603"/>
  <c r="F322"/>
  <c r="E320"/>
  <c r="F320" s="1"/>
  <c r="K799"/>
  <c r="K797" s="1"/>
  <c r="K796" s="1"/>
  <c r="J797"/>
  <c r="J796" s="1"/>
  <c r="O269" i="26" s="1"/>
  <c r="J269" s="1"/>
  <c r="C269" s="1"/>
  <c r="I22" i="82"/>
  <c r="I19" s="1"/>
  <c r="J23"/>
  <c r="F23"/>
  <c r="K740"/>
  <c r="N798"/>
  <c r="K106"/>
  <c r="K105" s="1"/>
  <c r="E799"/>
  <c r="F741"/>
  <c r="F740" s="1"/>
  <c r="J165"/>
  <c r="I164"/>
  <c r="I163" s="1"/>
  <c r="N829"/>
  <c r="N560"/>
  <c r="M47" i="2"/>
  <c r="M48"/>
  <c r="K33"/>
  <c r="J35"/>
  <c r="M35" s="1"/>
  <c r="J40"/>
  <c r="I38"/>
  <c r="J38" s="1"/>
  <c r="M38" s="1"/>
  <c r="I37"/>
  <c r="J37" s="1"/>
  <c r="M37" s="1"/>
  <c r="I36"/>
  <c r="J36" s="1"/>
  <c r="M36" s="1"/>
  <c r="I34"/>
  <c r="J34" s="1"/>
  <c r="M34" s="1"/>
  <c r="I33"/>
  <c r="I28"/>
  <c r="J28" s="1"/>
  <c r="M28" s="1"/>
  <c r="I25"/>
  <c r="J25" s="1"/>
  <c r="M25" s="1"/>
  <c r="I24"/>
  <c r="J24" s="1"/>
  <c r="M24" s="1"/>
  <c r="I22"/>
  <c r="J22" s="1"/>
  <c r="M22" s="1"/>
  <c r="I19"/>
  <c r="J19" s="1"/>
  <c r="M19" s="1"/>
  <c r="I18"/>
  <c r="H49"/>
  <c r="H44" s="1"/>
  <c r="H40"/>
  <c r="H21"/>
  <c r="H13"/>
  <c r="H11" s="1"/>
  <c r="H26"/>
  <c r="J18" l="1"/>
  <c r="M18" s="1"/>
  <c r="C254" i="26"/>
  <c r="I32" i="2"/>
  <c r="J32" s="1"/>
  <c r="M32" s="1"/>
  <c r="H15"/>
  <c r="D454" i="82"/>
  <c r="E633"/>
  <c r="F633" s="1"/>
  <c r="F634"/>
  <c r="D18"/>
  <c r="D952" s="1"/>
  <c r="D239" i="26"/>
  <c r="D327" s="1"/>
  <c r="E107" i="82"/>
  <c r="F108"/>
  <c r="K737"/>
  <c r="K736" s="1"/>
  <c r="K735" s="1"/>
  <c r="K734" s="1"/>
  <c r="K732" s="1"/>
  <c r="E740"/>
  <c r="F576"/>
  <c r="E553"/>
  <c r="E22"/>
  <c r="K286"/>
  <c r="K285" s="1"/>
  <c r="K284" s="1"/>
  <c r="F824"/>
  <c r="E849"/>
  <c r="F850"/>
  <c r="I551"/>
  <c r="E632"/>
  <c r="E628" s="1"/>
  <c r="I628"/>
  <c r="I627" s="1"/>
  <c r="I626" s="1"/>
  <c r="J628"/>
  <c r="J627" s="1"/>
  <c r="J626" s="1"/>
  <c r="N262" i="26" s="1"/>
  <c r="J734" i="82"/>
  <c r="J732" s="1"/>
  <c r="S310" i="26" s="1"/>
  <c r="J310" s="1"/>
  <c r="C310" s="1"/>
  <c r="K853" i="82"/>
  <c r="K850" s="1"/>
  <c r="K849" s="1"/>
  <c r="K848" s="1"/>
  <c r="K776" s="1"/>
  <c r="J850"/>
  <c r="J849" s="1"/>
  <c r="J848" s="1"/>
  <c r="K603"/>
  <c r="K602" s="1"/>
  <c r="K601" s="1"/>
  <c r="K600" s="1"/>
  <c r="K599" s="1"/>
  <c r="J602"/>
  <c r="J601" s="1"/>
  <c r="J600" s="1"/>
  <c r="K165"/>
  <c r="K164" s="1"/>
  <c r="K163" s="1"/>
  <c r="J164"/>
  <c r="J163" s="1"/>
  <c r="P286" i="26" s="1"/>
  <c r="J286" s="1"/>
  <c r="C286" s="1"/>
  <c r="F799" i="82"/>
  <c r="E797"/>
  <c r="E602"/>
  <c r="F603"/>
  <c r="J524"/>
  <c r="J523" s="1"/>
  <c r="K525"/>
  <c r="K524" s="1"/>
  <c r="K523" s="1"/>
  <c r="F738"/>
  <c r="E736"/>
  <c r="E524"/>
  <c r="F525"/>
  <c r="E765"/>
  <c r="F766"/>
  <c r="K23"/>
  <c r="K22" s="1"/>
  <c r="K19" s="1"/>
  <c r="J22"/>
  <c r="J19" s="1"/>
  <c r="P283" i="26" s="1"/>
  <c r="F164" i="82"/>
  <c r="E163"/>
  <c r="F163" s="1"/>
  <c r="E710"/>
  <c r="F710" s="1"/>
  <c r="F711"/>
  <c r="E306"/>
  <c r="F306" s="1"/>
  <c r="F307"/>
  <c r="I519"/>
  <c r="I454" s="1"/>
  <c r="I520"/>
  <c r="N526"/>
  <c r="O526" s="1"/>
  <c r="O528" s="1"/>
  <c r="K766"/>
  <c r="K765" s="1"/>
  <c r="K763" s="1"/>
  <c r="K731" s="1"/>
  <c r="J765"/>
  <c r="J763" s="1"/>
  <c r="S309" i="26" s="1"/>
  <c r="I18" i="82"/>
  <c r="E821"/>
  <c r="F821" s="1"/>
  <c r="F822"/>
  <c r="I764"/>
  <c r="I763"/>
  <c r="I731" s="1"/>
  <c r="K556"/>
  <c r="K553" s="1"/>
  <c r="K551" s="1"/>
  <c r="J553"/>
  <c r="J551" s="1"/>
  <c r="K247" i="26" s="1"/>
  <c r="J247" s="1"/>
  <c r="C247" s="1"/>
  <c r="N799" i="82"/>
  <c r="F237"/>
  <c r="E236"/>
  <c r="E19"/>
  <c r="F22"/>
  <c r="I21" i="2"/>
  <c r="J21" s="1"/>
  <c r="M21" s="1"/>
  <c r="J33"/>
  <c r="M33" s="1"/>
  <c r="K33" i="74"/>
  <c r="K35"/>
  <c r="H10" i="2" l="1"/>
  <c r="P282" i="26"/>
  <c r="P327" s="1"/>
  <c r="J776" i="82"/>
  <c r="J952" s="1"/>
  <c r="O271" i="26"/>
  <c r="O263" s="1"/>
  <c r="J262"/>
  <c r="N261"/>
  <c r="N327" s="1"/>
  <c r="J309"/>
  <c r="S308"/>
  <c r="S327" s="1"/>
  <c r="J599" i="82"/>
  <c r="M259" i="26"/>
  <c r="J283"/>
  <c r="J282" s="1"/>
  <c r="E106" i="82"/>
  <c r="F107"/>
  <c r="F553"/>
  <c r="E551"/>
  <c r="F551" s="1"/>
  <c r="F632"/>
  <c r="J731"/>
  <c r="E848"/>
  <c r="F848" s="1"/>
  <c r="F849"/>
  <c r="K18"/>
  <c r="J18"/>
  <c r="F19"/>
  <c r="E235"/>
  <c r="F235" s="1"/>
  <c r="F236"/>
  <c r="E601"/>
  <c r="F602"/>
  <c r="F736"/>
  <c r="E735"/>
  <c r="N524"/>
  <c r="F765"/>
  <c r="E764"/>
  <c r="F764" s="1"/>
  <c r="E763"/>
  <c r="F763" s="1"/>
  <c r="E523"/>
  <c r="F524"/>
  <c r="J519"/>
  <c r="J520"/>
  <c r="F628"/>
  <c r="E627"/>
  <c r="K520"/>
  <c r="K519"/>
  <c r="K454" s="1"/>
  <c r="E796"/>
  <c r="F797"/>
  <c r="I952"/>
  <c r="O25" i="60"/>
  <c r="P25"/>
  <c r="Q25"/>
  <c r="R25"/>
  <c r="S25"/>
  <c r="T25"/>
  <c r="N25"/>
  <c r="V26"/>
  <c r="V25" s="1"/>
  <c r="U26"/>
  <c r="U25" s="1"/>
  <c r="N22"/>
  <c r="N21"/>
  <c r="N20"/>
  <c r="N16"/>
  <c r="N14"/>
  <c r="N9"/>
  <c r="V11"/>
  <c r="V9" s="1"/>
  <c r="D25"/>
  <c r="E25"/>
  <c r="F25"/>
  <c r="G25"/>
  <c r="H25"/>
  <c r="I25"/>
  <c r="M25"/>
  <c r="J25"/>
  <c r="I59" i="74"/>
  <c r="I29" i="2"/>
  <c r="H9" l="1"/>
  <c r="J454" i="82"/>
  <c r="K246" i="26"/>
  <c r="J261"/>
  <c r="C262"/>
  <c r="C261" s="1"/>
  <c r="J308"/>
  <c r="C308" s="1"/>
  <c r="C309"/>
  <c r="K952" i="82"/>
  <c r="J271" i="26"/>
  <c r="J263" s="1"/>
  <c r="O327"/>
  <c r="J259"/>
  <c r="M258"/>
  <c r="M327" s="1"/>
  <c r="C283"/>
  <c r="C282" s="1"/>
  <c r="E105" i="82"/>
  <c r="F105" s="1"/>
  <c r="F106"/>
  <c r="F796"/>
  <c r="E776"/>
  <c r="F776" s="1"/>
  <c r="N599"/>
  <c r="E520"/>
  <c r="F520" s="1"/>
  <c r="F523"/>
  <c r="E519"/>
  <c r="F735"/>
  <c r="E734"/>
  <c r="F601"/>
  <c r="E600"/>
  <c r="F627"/>
  <c r="F626" s="1"/>
  <c r="E626"/>
  <c r="J29" i="2"/>
  <c r="M29" s="1"/>
  <c r="N13" i="60"/>
  <c r="N12" s="1"/>
  <c r="N8" l="1"/>
  <c r="C259" i="26"/>
  <c r="J258"/>
  <c r="J246"/>
  <c r="K239"/>
  <c r="K327" s="1"/>
  <c r="C271"/>
  <c r="E18" i="82"/>
  <c r="F18"/>
  <c r="F600"/>
  <c r="F599" s="1"/>
  <c r="E599"/>
  <c r="F519"/>
  <c r="F454" s="1"/>
  <c r="E454"/>
  <c r="N454"/>
  <c r="F734"/>
  <c r="E732"/>
  <c r="I23" i="2"/>
  <c r="J23" s="1"/>
  <c r="M23" s="1"/>
  <c r="I31"/>
  <c r="J31" s="1"/>
  <c r="M31" s="1"/>
  <c r="C263" i="26" l="1"/>
  <c r="C246"/>
  <c r="J239"/>
  <c r="J327" s="1"/>
  <c r="C258"/>
  <c r="F732" i="82"/>
  <c r="E731"/>
  <c r="F731" s="1"/>
  <c r="F952" s="1"/>
  <c r="C239" i="26" l="1"/>
  <c r="C327" s="1"/>
  <c r="E952" i="82"/>
  <c r="N952" s="1"/>
  <c r="N1000"/>
  <c r="I14" i="2"/>
  <c r="L11" i="60"/>
  <c r="K11"/>
  <c r="K9" s="1"/>
  <c r="I13" i="2" l="1"/>
  <c r="J14"/>
  <c r="M14" s="1"/>
  <c r="K23" i="74"/>
  <c r="D12" i="1"/>
  <c r="D11" s="1"/>
  <c r="I11" i="2" l="1"/>
  <c r="J13"/>
  <c r="M13" s="1"/>
  <c r="K42" i="74"/>
  <c r="J11" i="2" l="1"/>
  <c r="M11" s="1"/>
  <c r="K38" i="74"/>
  <c r="AA41"/>
  <c r="AA63"/>
  <c r="AA13"/>
  <c r="J12" l="1"/>
  <c r="K37"/>
  <c r="U67" i="63"/>
  <c r="E46"/>
  <c r="E19" i="1" l="1"/>
  <c r="G26" i="17"/>
  <c r="N140" i="75"/>
  <c r="O45"/>
  <c r="M11" i="63"/>
  <c r="D11"/>
  <c r="G11"/>
  <c r="G13"/>
  <c r="L11" i="30"/>
  <c r="L12"/>
  <c r="L16"/>
  <c r="L15"/>
  <c r="L14"/>
  <c r="L13"/>
  <c r="J13" s="1"/>
  <c r="M17"/>
  <c r="E11"/>
  <c r="F17"/>
  <c r="E17"/>
  <c r="N776" i="75" l="1"/>
  <c r="N390"/>
  <c r="K22" i="26"/>
  <c r="O614" i="75"/>
  <c r="N45" i="2" l="1"/>
  <c r="N389" i="75"/>
  <c r="M389"/>
  <c r="O391"/>
  <c r="O390"/>
  <c r="T67" i="63"/>
  <c r="J82" i="26"/>
  <c r="O776" i="75"/>
  <c r="N767"/>
  <c r="P776"/>
  <c r="P525"/>
  <c r="R776" l="1"/>
  <c r="N764" l="1"/>
  <c r="N499"/>
  <c r="O774"/>
  <c r="O759"/>
  <c r="N525"/>
  <c r="M525"/>
  <c r="P502"/>
  <c r="O474"/>
  <c r="O473"/>
  <c r="O454"/>
  <c r="N237"/>
  <c r="F90" i="26"/>
  <c r="O525" i="75" l="1"/>
  <c r="N38" i="2"/>
  <c r="N26"/>
  <c r="O32"/>
  <c r="N32"/>
  <c r="N25"/>
  <c r="N15"/>
  <c r="N31" l="1"/>
  <c r="N30"/>
  <c r="N23"/>
  <c r="AO20" i="70" l="1"/>
  <c r="L632" i="75" l="1"/>
  <c r="M632" s="1"/>
  <c r="L633"/>
  <c r="M633" s="1"/>
  <c r="N633" s="1"/>
  <c r="O633" s="1"/>
  <c r="M631" l="1"/>
  <c r="N631" s="1"/>
  <c r="O631" s="1"/>
  <c r="N632"/>
  <c r="O632" s="1"/>
  <c r="O23" i="2" l="1"/>
  <c r="C11" i="17" l="1"/>
  <c r="C10" s="1"/>
  <c r="U65" i="63"/>
  <c r="N65"/>
  <c r="U64"/>
  <c r="U63"/>
  <c r="R62"/>
  <c r="U59"/>
  <c r="U58"/>
  <c r="U57"/>
  <c r="T56"/>
  <c r="T54" s="1"/>
  <c r="Q56"/>
  <c r="N56"/>
  <c r="K56"/>
  <c r="H56"/>
  <c r="H54" s="1"/>
  <c r="E56"/>
  <c r="E54" s="1"/>
  <c r="U55"/>
  <c r="Q54"/>
  <c r="N54"/>
  <c r="K54"/>
  <c r="T53"/>
  <c r="U53" s="1"/>
  <c r="Q52"/>
  <c r="N52"/>
  <c r="K52"/>
  <c r="H52"/>
  <c r="E52"/>
  <c r="Q51"/>
  <c r="N51"/>
  <c r="K51"/>
  <c r="H51"/>
  <c r="E51"/>
  <c r="Q50"/>
  <c r="N50"/>
  <c r="K50"/>
  <c r="H50"/>
  <c r="E50"/>
  <c r="Q49"/>
  <c r="N49"/>
  <c r="K49"/>
  <c r="H49"/>
  <c r="E49"/>
  <c r="T48"/>
  <c r="T46" s="1"/>
  <c r="U47"/>
  <c r="S45"/>
  <c r="T45" s="1"/>
  <c r="P45"/>
  <c r="Q45" s="1"/>
  <c r="N45"/>
  <c r="J45"/>
  <c r="K45" s="1"/>
  <c r="G45"/>
  <c r="H45" s="1"/>
  <c r="D45"/>
  <c r="E45" s="1"/>
  <c r="T44"/>
  <c r="Q44"/>
  <c r="N44"/>
  <c r="K44"/>
  <c r="H44"/>
  <c r="E44"/>
  <c r="T42"/>
  <c r="P42"/>
  <c r="Q42" s="1"/>
  <c r="N42"/>
  <c r="K42"/>
  <c r="H42"/>
  <c r="D42"/>
  <c r="E42" s="1"/>
  <c r="S41"/>
  <c r="T41" s="1"/>
  <c r="P41"/>
  <c r="Q41" s="1"/>
  <c r="M41"/>
  <c r="N41" s="1"/>
  <c r="J41"/>
  <c r="K41" s="1"/>
  <c r="G41"/>
  <c r="H41" s="1"/>
  <c r="D41"/>
  <c r="E41" s="1"/>
  <c r="T40"/>
  <c r="Q40"/>
  <c r="N40"/>
  <c r="K40"/>
  <c r="H40"/>
  <c r="E40"/>
  <c r="T39"/>
  <c r="Q39"/>
  <c r="N39"/>
  <c r="K39"/>
  <c r="H39"/>
  <c r="E39"/>
  <c r="T38"/>
  <c r="Q38"/>
  <c r="N38"/>
  <c r="K38"/>
  <c r="H38"/>
  <c r="E38"/>
  <c r="T37"/>
  <c r="Q37"/>
  <c r="N37"/>
  <c r="K37"/>
  <c r="H37"/>
  <c r="E37"/>
  <c r="T36"/>
  <c r="Q36"/>
  <c r="N36"/>
  <c r="K36"/>
  <c r="H36"/>
  <c r="E36"/>
  <c r="U34"/>
  <c r="S33"/>
  <c r="R33"/>
  <c r="P33"/>
  <c r="O33"/>
  <c r="M33"/>
  <c r="L33"/>
  <c r="J33"/>
  <c r="I33"/>
  <c r="G33"/>
  <c r="F33"/>
  <c r="T32"/>
  <c r="T30" s="1"/>
  <c r="Q32"/>
  <c r="Q30" s="1"/>
  <c r="N32"/>
  <c r="K32"/>
  <c r="K30" s="1"/>
  <c r="H32"/>
  <c r="H30" s="1"/>
  <c r="E32"/>
  <c r="U31"/>
  <c r="N30"/>
  <c r="U29"/>
  <c r="T28"/>
  <c r="Q28"/>
  <c r="N28"/>
  <c r="K28"/>
  <c r="H28"/>
  <c r="E28"/>
  <c r="T27"/>
  <c r="Q27"/>
  <c r="N27"/>
  <c r="H27"/>
  <c r="E27"/>
  <c r="T26"/>
  <c r="Q26"/>
  <c r="N26"/>
  <c r="K26"/>
  <c r="E26"/>
  <c r="U25"/>
  <c r="U24"/>
  <c r="T22"/>
  <c r="T23" s="1"/>
  <c r="Q22"/>
  <c r="Q23" s="1"/>
  <c r="N22"/>
  <c r="N23" s="1"/>
  <c r="K22"/>
  <c r="K23" s="1"/>
  <c r="H22"/>
  <c r="H23" s="1"/>
  <c r="E22"/>
  <c r="T21"/>
  <c r="Q21"/>
  <c r="N21"/>
  <c r="K21"/>
  <c r="H21"/>
  <c r="E21"/>
  <c r="U20"/>
  <c r="T19"/>
  <c r="Q19"/>
  <c r="N19"/>
  <c r="K19"/>
  <c r="H19"/>
  <c r="E19"/>
  <c r="U18"/>
  <c r="T17"/>
  <c r="Q17"/>
  <c r="N17"/>
  <c r="K17"/>
  <c r="G17"/>
  <c r="H17" s="1"/>
  <c r="E17"/>
  <c r="T16"/>
  <c r="Q16"/>
  <c r="N16"/>
  <c r="K16"/>
  <c r="H16"/>
  <c r="E16"/>
  <c r="G14"/>
  <c r="S13"/>
  <c r="T13" s="1"/>
  <c r="Q13"/>
  <c r="N13"/>
  <c r="K13"/>
  <c r="H13"/>
  <c r="E13"/>
  <c r="S12"/>
  <c r="T12" s="1"/>
  <c r="P12"/>
  <c r="Q12" s="1"/>
  <c r="M12"/>
  <c r="N12" s="1"/>
  <c r="J12"/>
  <c r="K12" s="1"/>
  <c r="G12"/>
  <c r="H12" s="1"/>
  <c r="D12"/>
  <c r="E12" s="1"/>
  <c r="S11"/>
  <c r="T14" s="1"/>
  <c r="P11"/>
  <c r="Q14" s="1"/>
  <c r="N11"/>
  <c r="J11"/>
  <c r="K14" s="1"/>
  <c r="H11"/>
  <c r="H14"/>
  <c r="E11"/>
  <c r="E14"/>
  <c r="I10"/>
  <c r="S9"/>
  <c r="S62" s="1"/>
  <c r="P9"/>
  <c r="M9"/>
  <c r="J9"/>
  <c r="G9"/>
  <c r="T91" i="26"/>
  <c r="T92" s="1"/>
  <c r="E90"/>
  <c r="V89"/>
  <c r="J89" s="1"/>
  <c r="C89" s="1"/>
  <c r="V88"/>
  <c r="J88" s="1"/>
  <c r="C88" s="1"/>
  <c r="V87"/>
  <c r="J87" s="1"/>
  <c r="C87" s="1"/>
  <c r="V85"/>
  <c r="J85" s="1"/>
  <c r="C85" s="1"/>
  <c r="J84"/>
  <c r="V83"/>
  <c r="J74"/>
  <c r="C74" s="1"/>
  <c r="J73"/>
  <c r="C73" s="1"/>
  <c r="J72"/>
  <c r="C72" s="1"/>
  <c r="P74"/>
  <c r="P73"/>
  <c r="P72"/>
  <c r="O41"/>
  <c r="J41" s="1"/>
  <c r="C41" s="1"/>
  <c r="O40"/>
  <c r="J40" s="1"/>
  <c r="C40" s="1"/>
  <c r="O35"/>
  <c r="J35" s="1"/>
  <c r="C35" s="1"/>
  <c r="O34"/>
  <c r="J34" s="1"/>
  <c r="O33"/>
  <c r="J33" s="1"/>
  <c r="L25"/>
  <c r="J25" s="1"/>
  <c r="C25" s="1"/>
  <c r="L24"/>
  <c r="J24" s="1"/>
  <c r="C24" s="1"/>
  <c r="K9"/>
  <c r="J9" s="1"/>
  <c r="J22"/>
  <c r="C22" s="1"/>
  <c r="C135" s="1"/>
  <c r="K20"/>
  <c r="J20" s="1"/>
  <c r="C20" s="1"/>
  <c r="K19"/>
  <c r="J19" s="1"/>
  <c r="C19" s="1"/>
  <c r="K18"/>
  <c r="J18" s="1"/>
  <c r="C18" s="1"/>
  <c r="C82"/>
  <c r="V79"/>
  <c r="R79"/>
  <c r="P79"/>
  <c r="O79"/>
  <c r="N79"/>
  <c r="M79"/>
  <c r="K79"/>
  <c r="I79"/>
  <c r="H79"/>
  <c r="G79"/>
  <c r="F79"/>
  <c r="E79"/>
  <c r="D79"/>
  <c r="E67"/>
  <c r="D67" s="1"/>
  <c r="E65"/>
  <c r="D65" s="1"/>
  <c r="E64"/>
  <c r="D64" s="1"/>
  <c r="E52"/>
  <c r="D52" s="1"/>
  <c r="V51"/>
  <c r="R51"/>
  <c r="Q51"/>
  <c r="O51"/>
  <c r="N51"/>
  <c r="M51"/>
  <c r="K51"/>
  <c r="I51"/>
  <c r="H51"/>
  <c r="G51"/>
  <c r="F51"/>
  <c r="V49"/>
  <c r="Q49"/>
  <c r="P49"/>
  <c r="O49"/>
  <c r="N49"/>
  <c r="M49"/>
  <c r="K49"/>
  <c r="E34"/>
  <c r="D34" s="1"/>
  <c r="E33"/>
  <c r="D33" s="1"/>
  <c r="V31"/>
  <c r="R31"/>
  <c r="Q31"/>
  <c r="P31"/>
  <c r="N31"/>
  <c r="M31"/>
  <c r="L31"/>
  <c r="K31"/>
  <c r="I31"/>
  <c r="H31"/>
  <c r="G31"/>
  <c r="F31"/>
  <c r="E30"/>
  <c r="D30" s="1"/>
  <c r="V29"/>
  <c r="R29"/>
  <c r="Q29"/>
  <c r="P29"/>
  <c r="O29"/>
  <c r="M29"/>
  <c r="K29"/>
  <c r="I29"/>
  <c r="H29"/>
  <c r="G29"/>
  <c r="F29"/>
  <c r="E27"/>
  <c r="D27" s="1"/>
  <c r="V26"/>
  <c r="R26"/>
  <c r="Q26"/>
  <c r="P26"/>
  <c r="O26"/>
  <c r="N26"/>
  <c r="K26"/>
  <c r="I26"/>
  <c r="H26"/>
  <c r="G26"/>
  <c r="F26"/>
  <c r="F9" s="1"/>
  <c r="F8" s="1"/>
  <c r="F92" s="1"/>
  <c r="J10"/>
  <c r="E10"/>
  <c r="D10" s="1"/>
  <c r="V8"/>
  <c r="R8"/>
  <c r="Q8"/>
  <c r="P8"/>
  <c r="O8"/>
  <c r="N8"/>
  <c r="M8"/>
  <c r="O780" i="75"/>
  <c r="G780"/>
  <c r="F780" s="1"/>
  <c r="O779"/>
  <c r="G779"/>
  <c r="F779" s="1"/>
  <c r="O778"/>
  <c r="G778"/>
  <c r="F778" s="1"/>
  <c r="O777"/>
  <c r="G777"/>
  <c r="F777" s="1"/>
  <c r="G776"/>
  <c r="F776" s="1"/>
  <c r="O771"/>
  <c r="O770"/>
  <c r="O769"/>
  <c r="O768"/>
  <c r="O767"/>
  <c r="F767"/>
  <c r="F766"/>
  <c r="P764"/>
  <c r="M764"/>
  <c r="I762"/>
  <c r="G763"/>
  <c r="F763" s="1"/>
  <c r="P762"/>
  <c r="E762"/>
  <c r="G761"/>
  <c r="F761" s="1"/>
  <c r="O760"/>
  <c r="G760"/>
  <c r="F760" s="1"/>
  <c r="O758"/>
  <c r="F758"/>
  <c r="O757"/>
  <c r="F757"/>
  <c r="O756"/>
  <c r="F756"/>
  <c r="O755"/>
  <c r="F755"/>
  <c r="O754"/>
  <c r="F754"/>
  <c r="O753"/>
  <c r="F753"/>
  <c r="O752"/>
  <c r="F752"/>
  <c r="O751"/>
  <c r="F751"/>
  <c r="O750"/>
  <c r="F750"/>
  <c r="O749"/>
  <c r="F749"/>
  <c r="O748"/>
  <c r="F748"/>
  <c r="O747"/>
  <c r="G747"/>
  <c r="F747" s="1"/>
  <c r="O746"/>
  <c r="G746"/>
  <c r="F746" s="1"/>
  <c r="N745"/>
  <c r="Q81" i="26" s="1"/>
  <c r="J81" s="1"/>
  <c r="M745" i="75"/>
  <c r="L745"/>
  <c r="K745"/>
  <c r="J745"/>
  <c r="I745"/>
  <c r="H745"/>
  <c r="E745"/>
  <c r="D745"/>
  <c r="O744"/>
  <c r="O743"/>
  <c r="F743"/>
  <c r="O742"/>
  <c r="G742"/>
  <c r="F742" s="1"/>
  <c r="O741"/>
  <c r="G741"/>
  <c r="F741" s="1"/>
  <c r="O740"/>
  <c r="G740"/>
  <c r="F740" s="1"/>
  <c r="O739"/>
  <c r="G739"/>
  <c r="F739" s="1"/>
  <c r="O738"/>
  <c r="G738"/>
  <c r="F738" s="1"/>
  <c r="O737"/>
  <c r="G737"/>
  <c r="F737" s="1"/>
  <c r="O736"/>
  <c r="G736"/>
  <c r="F736" s="1"/>
  <c r="O735"/>
  <c r="G735"/>
  <c r="F735" s="1"/>
  <c r="O734"/>
  <c r="G734"/>
  <c r="F734" s="1"/>
  <c r="O733"/>
  <c r="G733"/>
  <c r="F733" s="1"/>
  <c r="O732"/>
  <c r="G732"/>
  <c r="F732" s="1"/>
  <c r="O731"/>
  <c r="G731"/>
  <c r="F731" s="1"/>
  <c r="O730"/>
  <c r="G730"/>
  <c r="F730" s="1"/>
  <c r="O729"/>
  <c r="G729"/>
  <c r="F729" s="1"/>
  <c r="O728"/>
  <c r="M728"/>
  <c r="M727" s="1"/>
  <c r="M726" s="1"/>
  <c r="G728"/>
  <c r="F728" s="1"/>
  <c r="N727"/>
  <c r="Q80" i="26" s="1"/>
  <c r="J80" s="1"/>
  <c r="C80" s="1"/>
  <c r="L727" i="75"/>
  <c r="L726" s="1"/>
  <c r="K727"/>
  <c r="J727"/>
  <c r="I727"/>
  <c r="I726" s="1"/>
  <c r="H727"/>
  <c r="E727"/>
  <c r="D727"/>
  <c r="E726"/>
  <c r="N725"/>
  <c r="O725" s="1"/>
  <c r="G725"/>
  <c r="F725" s="1"/>
  <c r="N724"/>
  <c r="O724" s="1"/>
  <c r="G724"/>
  <c r="F724" s="1"/>
  <c r="N723"/>
  <c r="O723" s="1"/>
  <c r="G723"/>
  <c r="F723" s="1"/>
  <c r="N722"/>
  <c r="O722" s="1"/>
  <c r="G722"/>
  <c r="F722" s="1"/>
  <c r="N721"/>
  <c r="O44" i="26" s="1"/>
  <c r="J44" s="1"/>
  <c r="C44" s="1"/>
  <c r="H721" i="75"/>
  <c r="G721" s="1"/>
  <c r="F721" s="1"/>
  <c r="N720"/>
  <c r="O720" s="1"/>
  <c r="G720"/>
  <c r="F720" s="1"/>
  <c r="N719"/>
  <c r="O719" s="1"/>
  <c r="H719"/>
  <c r="G719" s="1"/>
  <c r="O718"/>
  <c r="H718"/>
  <c r="G718" s="1"/>
  <c r="F718" s="1"/>
  <c r="O717"/>
  <c r="G717"/>
  <c r="F717" s="1"/>
  <c r="O716"/>
  <c r="G716"/>
  <c r="F716" s="1"/>
  <c r="O715"/>
  <c r="H715"/>
  <c r="G715" s="1"/>
  <c r="F715" s="1"/>
  <c r="O714"/>
  <c r="H714"/>
  <c r="G714" s="1"/>
  <c r="F714" s="1"/>
  <c r="O713"/>
  <c r="H713"/>
  <c r="G713" s="1"/>
  <c r="F713" s="1"/>
  <c r="O712"/>
  <c r="E712"/>
  <c r="N711"/>
  <c r="O711" s="1"/>
  <c r="M711"/>
  <c r="L711"/>
  <c r="K711"/>
  <c r="J711"/>
  <c r="I711"/>
  <c r="D711"/>
  <c r="L709"/>
  <c r="M709" s="1"/>
  <c r="N709" s="1"/>
  <c r="O709" s="1"/>
  <c r="D709"/>
  <c r="E709" s="1"/>
  <c r="H709" s="1"/>
  <c r="G709" s="1"/>
  <c r="F709" s="1"/>
  <c r="L708"/>
  <c r="M708" s="1"/>
  <c r="N708" s="1"/>
  <c r="O708" s="1"/>
  <c r="D708"/>
  <c r="E708" s="1"/>
  <c r="H708" s="1"/>
  <c r="G708" s="1"/>
  <c r="F708" s="1"/>
  <c r="M707"/>
  <c r="N707" s="1"/>
  <c r="O707" s="1"/>
  <c r="E707"/>
  <c r="H707" s="1"/>
  <c r="G707" s="1"/>
  <c r="F707" s="1"/>
  <c r="M706"/>
  <c r="N706" s="1"/>
  <c r="E706"/>
  <c r="H706" s="1"/>
  <c r="J705"/>
  <c r="I705"/>
  <c r="I704" s="1"/>
  <c r="B705"/>
  <c r="K704"/>
  <c r="J704"/>
  <c r="D704"/>
  <c r="D703" s="1"/>
  <c r="O702"/>
  <c r="G702"/>
  <c r="F702" s="1"/>
  <c r="O701"/>
  <c r="G701"/>
  <c r="F701" s="1"/>
  <c r="O700"/>
  <c r="G700"/>
  <c r="F700" s="1"/>
  <c r="O699"/>
  <c r="H699"/>
  <c r="G699" s="1"/>
  <c r="F699" s="1"/>
  <c r="O698"/>
  <c r="H698"/>
  <c r="G698" s="1"/>
  <c r="F698" s="1"/>
  <c r="O697"/>
  <c r="H697"/>
  <c r="G697" s="1"/>
  <c r="F697" s="1"/>
  <c r="N696"/>
  <c r="O696" s="1"/>
  <c r="M696"/>
  <c r="L696"/>
  <c r="K696"/>
  <c r="J696"/>
  <c r="I696"/>
  <c r="E696"/>
  <c r="D696"/>
  <c r="L694"/>
  <c r="M694" s="1"/>
  <c r="N694" s="1"/>
  <c r="O694" s="1"/>
  <c r="D694"/>
  <c r="E694" s="1"/>
  <c r="H694" s="1"/>
  <c r="G694" s="1"/>
  <c r="F694" s="1"/>
  <c r="L693"/>
  <c r="M693" s="1"/>
  <c r="N693" s="1"/>
  <c r="O693" s="1"/>
  <c r="D693"/>
  <c r="E693" s="1"/>
  <c r="H693" s="1"/>
  <c r="G693" s="1"/>
  <c r="O692"/>
  <c r="G692"/>
  <c r="F692" s="1"/>
  <c r="L691"/>
  <c r="M691" s="1"/>
  <c r="N691" s="1"/>
  <c r="O691" s="1"/>
  <c r="D691"/>
  <c r="E691" s="1"/>
  <c r="H691" s="1"/>
  <c r="G691" s="1"/>
  <c r="F691" s="1"/>
  <c r="L690"/>
  <c r="M690" s="1"/>
  <c r="D690"/>
  <c r="O689"/>
  <c r="F689"/>
  <c r="K688"/>
  <c r="J688"/>
  <c r="I688"/>
  <c r="D687"/>
  <c r="O686"/>
  <c r="F686"/>
  <c r="O685"/>
  <c r="H685"/>
  <c r="G685" s="1"/>
  <c r="F685" s="1"/>
  <c r="O684"/>
  <c r="H684"/>
  <c r="G684" s="1"/>
  <c r="F684" s="1"/>
  <c r="O683"/>
  <c r="H683"/>
  <c r="O682"/>
  <c r="H682"/>
  <c r="G682" s="1"/>
  <c r="F682" s="1"/>
  <c r="N681"/>
  <c r="O681" s="1"/>
  <c r="M681"/>
  <c r="L681"/>
  <c r="K681"/>
  <c r="J681"/>
  <c r="I681"/>
  <c r="E681"/>
  <c r="L679"/>
  <c r="M679" s="1"/>
  <c r="N679" s="1"/>
  <c r="O679" s="1"/>
  <c r="D679"/>
  <c r="E679" s="1"/>
  <c r="H679" s="1"/>
  <c r="G679" s="1"/>
  <c r="F679" s="1"/>
  <c r="L678"/>
  <c r="M678" s="1"/>
  <c r="N678" s="1"/>
  <c r="O678" s="1"/>
  <c r="D678"/>
  <c r="E678" s="1"/>
  <c r="H678" s="1"/>
  <c r="G678" s="1"/>
  <c r="F678" s="1"/>
  <c r="O677"/>
  <c r="G677"/>
  <c r="L676"/>
  <c r="M676" s="1"/>
  <c r="N676" s="1"/>
  <c r="O676" s="1"/>
  <c r="D676"/>
  <c r="E676" s="1"/>
  <c r="H676" s="1"/>
  <c r="G676" s="1"/>
  <c r="F676" s="1"/>
  <c r="L675"/>
  <c r="M675" s="1"/>
  <c r="D675"/>
  <c r="O674"/>
  <c r="G674"/>
  <c r="K673"/>
  <c r="J673"/>
  <c r="J672" s="1"/>
  <c r="I673"/>
  <c r="I672" s="1"/>
  <c r="M671"/>
  <c r="N671" s="1"/>
  <c r="O671" s="1"/>
  <c r="G671"/>
  <c r="F671" s="1"/>
  <c r="O670"/>
  <c r="G670"/>
  <c r="F670" s="1"/>
  <c r="O669"/>
  <c r="G669"/>
  <c r="F669" s="1"/>
  <c r="O668"/>
  <c r="O667"/>
  <c r="G667"/>
  <c r="F667" s="1"/>
  <c r="O666"/>
  <c r="F666"/>
  <c r="O665"/>
  <c r="G665"/>
  <c r="F665" s="1"/>
  <c r="E665"/>
  <c r="O664"/>
  <c r="G664"/>
  <c r="F664" s="1"/>
  <c r="O663"/>
  <c r="G663"/>
  <c r="F663" s="1"/>
  <c r="O662"/>
  <c r="G662"/>
  <c r="F662" s="1"/>
  <c r="O661"/>
  <c r="G661"/>
  <c r="F661" s="1"/>
  <c r="E661"/>
  <c r="O660"/>
  <c r="G660"/>
  <c r="F660" s="1"/>
  <c r="E660"/>
  <c r="O659"/>
  <c r="G659"/>
  <c r="F659" s="1"/>
  <c r="E659"/>
  <c r="N658"/>
  <c r="O32" i="26" s="1"/>
  <c r="J32" s="1"/>
  <c r="M658" i="75"/>
  <c r="L658"/>
  <c r="L657" s="1"/>
  <c r="K658"/>
  <c r="J658"/>
  <c r="I658"/>
  <c r="H658"/>
  <c r="D658"/>
  <c r="O656"/>
  <c r="G656"/>
  <c r="F656" s="1"/>
  <c r="O655"/>
  <c r="E655"/>
  <c r="H655" s="1"/>
  <c r="H650" s="1"/>
  <c r="O654"/>
  <c r="G654"/>
  <c r="F654" s="1"/>
  <c r="O653"/>
  <c r="M653"/>
  <c r="G653"/>
  <c r="F653" s="1"/>
  <c r="O652"/>
  <c r="G652"/>
  <c r="F652" s="1"/>
  <c r="O651"/>
  <c r="G651"/>
  <c r="F651" s="1"/>
  <c r="E651"/>
  <c r="E650" s="1"/>
  <c r="N650"/>
  <c r="O650" s="1"/>
  <c r="M650"/>
  <c r="I650"/>
  <c r="D650"/>
  <c r="L648"/>
  <c r="M648" s="1"/>
  <c r="N648" s="1"/>
  <c r="O648" s="1"/>
  <c r="D648"/>
  <c r="E648" s="1"/>
  <c r="H648" s="1"/>
  <c r="G648" s="1"/>
  <c r="F648" s="1"/>
  <c r="L647"/>
  <c r="M647" s="1"/>
  <c r="D647"/>
  <c r="E647" s="1"/>
  <c r="J646"/>
  <c r="J645" s="1"/>
  <c r="I646"/>
  <c r="L644"/>
  <c r="K644"/>
  <c r="J644"/>
  <c r="O643"/>
  <c r="G643"/>
  <c r="F643" s="1"/>
  <c r="O642"/>
  <c r="M642"/>
  <c r="F642"/>
  <c r="O641"/>
  <c r="G641"/>
  <c r="F641" s="1"/>
  <c r="O640"/>
  <c r="M640"/>
  <c r="G640"/>
  <c r="F640" s="1"/>
  <c r="O639"/>
  <c r="F639"/>
  <c r="M638"/>
  <c r="O637"/>
  <c r="G637"/>
  <c r="F637" s="1"/>
  <c r="E637"/>
  <c r="O636"/>
  <c r="G636"/>
  <c r="F636" s="1"/>
  <c r="E636"/>
  <c r="N635"/>
  <c r="O635" s="1"/>
  <c r="L635"/>
  <c r="K635"/>
  <c r="J635"/>
  <c r="I635"/>
  <c r="H635"/>
  <c r="D635"/>
  <c r="L630"/>
  <c r="D630"/>
  <c r="E630" s="1"/>
  <c r="H630" s="1"/>
  <c r="G630" s="1"/>
  <c r="F630" s="1"/>
  <c r="L629"/>
  <c r="M629" s="1"/>
  <c r="D629"/>
  <c r="E629" s="1"/>
  <c r="L627"/>
  <c r="M627" s="1"/>
  <c r="N627" s="1"/>
  <c r="O627" s="1"/>
  <c r="D627"/>
  <c r="E627" s="1"/>
  <c r="H627" s="1"/>
  <c r="G627" s="1"/>
  <c r="F627" s="1"/>
  <c r="L626"/>
  <c r="D626"/>
  <c r="E626" s="1"/>
  <c r="J625"/>
  <c r="I625"/>
  <c r="I624" s="1"/>
  <c r="L624"/>
  <c r="K624"/>
  <c r="J624"/>
  <c r="L622"/>
  <c r="M622" s="1"/>
  <c r="N622" s="1"/>
  <c r="O622" s="1"/>
  <c r="D622"/>
  <c r="E622" s="1"/>
  <c r="H622" s="1"/>
  <c r="G622" s="1"/>
  <c r="F622" s="1"/>
  <c r="L621"/>
  <c r="M621" s="1"/>
  <c r="D621"/>
  <c r="J620"/>
  <c r="J619" s="1"/>
  <c r="I620"/>
  <c r="I619" s="1"/>
  <c r="L619"/>
  <c r="K619"/>
  <c r="O613"/>
  <c r="F613"/>
  <c r="O612"/>
  <c r="F612"/>
  <c r="O611"/>
  <c r="F611"/>
  <c r="O610"/>
  <c r="F610"/>
  <c r="O609"/>
  <c r="F609"/>
  <c r="O608"/>
  <c r="G608"/>
  <c r="F608" s="1"/>
  <c r="O607"/>
  <c r="G607"/>
  <c r="N606"/>
  <c r="O606" s="1"/>
  <c r="M606"/>
  <c r="I606"/>
  <c r="H606"/>
  <c r="E606"/>
  <c r="O605"/>
  <c r="F605"/>
  <c r="N604"/>
  <c r="O604" s="1"/>
  <c r="M604"/>
  <c r="H604"/>
  <c r="G604" s="1"/>
  <c r="F604" s="1"/>
  <c r="O603"/>
  <c r="F603"/>
  <c r="O602"/>
  <c r="M602"/>
  <c r="F602"/>
  <c r="O601"/>
  <c r="M601"/>
  <c r="G601"/>
  <c r="F601" s="1"/>
  <c r="L600"/>
  <c r="I600"/>
  <c r="E600"/>
  <c r="E599" s="1"/>
  <c r="D599"/>
  <c r="L597"/>
  <c r="M597" s="1"/>
  <c r="N597" s="1"/>
  <c r="O597" s="1"/>
  <c r="D597"/>
  <c r="E597" s="1"/>
  <c r="H597" s="1"/>
  <c r="G597" s="1"/>
  <c r="F597" s="1"/>
  <c r="L596"/>
  <c r="D596"/>
  <c r="E596" s="1"/>
  <c r="H596" s="1"/>
  <c r="J595"/>
  <c r="J594" s="1"/>
  <c r="I595"/>
  <c r="O593"/>
  <c r="G593"/>
  <c r="F593" s="1"/>
  <c r="N592"/>
  <c r="O592" s="1"/>
  <c r="M592"/>
  <c r="E592"/>
  <c r="O591"/>
  <c r="G591"/>
  <c r="F591" s="1"/>
  <c r="O590"/>
  <c r="G590"/>
  <c r="F590" s="1"/>
  <c r="O589"/>
  <c r="G589"/>
  <c r="F589" s="1"/>
  <c r="N588"/>
  <c r="O588" s="1"/>
  <c r="M588"/>
  <c r="L588"/>
  <c r="K588"/>
  <c r="J588"/>
  <c r="I588"/>
  <c r="H588"/>
  <c r="E588"/>
  <c r="D588"/>
  <c r="O587"/>
  <c r="F587"/>
  <c r="O586"/>
  <c r="G586"/>
  <c r="F586" s="1"/>
  <c r="O585"/>
  <c r="G585"/>
  <c r="F585" s="1"/>
  <c r="O584"/>
  <c r="G584"/>
  <c r="F584" s="1"/>
  <c r="O583"/>
  <c r="G583"/>
  <c r="F583" s="1"/>
  <c r="O582"/>
  <c r="G582"/>
  <c r="F582" s="1"/>
  <c r="O581"/>
  <c r="G581"/>
  <c r="F581" s="1"/>
  <c r="N580"/>
  <c r="M580"/>
  <c r="L580"/>
  <c r="K580"/>
  <c r="J580"/>
  <c r="I580"/>
  <c r="H580"/>
  <c r="E580"/>
  <c r="O579"/>
  <c r="G579"/>
  <c r="F579" s="1"/>
  <c r="O578"/>
  <c r="G578"/>
  <c r="F578" s="1"/>
  <c r="O577"/>
  <c r="G577"/>
  <c r="F577" s="1"/>
  <c r="O576"/>
  <c r="G576"/>
  <c r="F576" s="1"/>
  <c r="O575"/>
  <c r="G575"/>
  <c r="F575" s="1"/>
  <c r="O574"/>
  <c r="G574"/>
  <c r="F574" s="1"/>
  <c r="N573"/>
  <c r="M573"/>
  <c r="L573"/>
  <c r="K573"/>
  <c r="K572" s="1"/>
  <c r="J573"/>
  <c r="I573"/>
  <c r="H573"/>
  <c r="E573"/>
  <c r="D573"/>
  <c r="D572" s="1"/>
  <c r="I572"/>
  <c r="O571"/>
  <c r="G571"/>
  <c r="F571" s="1"/>
  <c r="O570"/>
  <c r="G570"/>
  <c r="F570" s="1"/>
  <c r="O569"/>
  <c r="G569"/>
  <c r="F569" s="1"/>
  <c r="O568"/>
  <c r="G568"/>
  <c r="F568" s="1"/>
  <c r="O567"/>
  <c r="G567"/>
  <c r="F567" s="1"/>
  <c r="N566"/>
  <c r="O566" s="1"/>
  <c r="M566"/>
  <c r="L566"/>
  <c r="K566"/>
  <c r="J566"/>
  <c r="I566"/>
  <c r="H566"/>
  <c r="E566"/>
  <c r="D566"/>
  <c r="O565"/>
  <c r="O564"/>
  <c r="G564"/>
  <c r="F564" s="1"/>
  <c r="E564"/>
  <c r="O563"/>
  <c r="G563"/>
  <c r="F563" s="1"/>
  <c r="E563"/>
  <c r="O562"/>
  <c r="G562"/>
  <c r="F562" s="1"/>
  <c r="O561"/>
  <c r="M561"/>
  <c r="M549" s="1"/>
  <c r="G561"/>
  <c r="F561" s="1"/>
  <c r="O560"/>
  <c r="G560"/>
  <c r="F560" s="1"/>
  <c r="O559"/>
  <c r="N558"/>
  <c r="H558"/>
  <c r="G558" s="1"/>
  <c r="F558" s="1"/>
  <c r="E558"/>
  <c r="O557"/>
  <c r="G557"/>
  <c r="F557" s="1"/>
  <c r="O556"/>
  <c r="G556"/>
  <c r="F556" s="1"/>
  <c r="O555"/>
  <c r="G555"/>
  <c r="F555" s="1"/>
  <c r="E555"/>
  <c r="O554"/>
  <c r="G554"/>
  <c r="F554" s="1"/>
  <c r="E554"/>
  <c r="O553"/>
  <c r="G553"/>
  <c r="F553" s="1"/>
  <c r="N552"/>
  <c r="O552" s="1"/>
  <c r="G552"/>
  <c r="F552" s="1"/>
  <c r="O551"/>
  <c r="G551"/>
  <c r="F551" s="1"/>
  <c r="O550"/>
  <c r="G550"/>
  <c r="F550" s="1"/>
  <c r="L549"/>
  <c r="K549"/>
  <c r="J549"/>
  <c r="I549"/>
  <c r="H549"/>
  <c r="B548"/>
  <c r="M547"/>
  <c r="M546"/>
  <c r="O545"/>
  <c r="G545"/>
  <c r="F545" s="1"/>
  <c r="E545"/>
  <c r="E543" s="1"/>
  <c r="M544"/>
  <c r="N544" s="1"/>
  <c r="H544"/>
  <c r="G544" s="1"/>
  <c r="F544" s="1"/>
  <c r="L543"/>
  <c r="K543"/>
  <c r="J543"/>
  <c r="I543"/>
  <c r="D542"/>
  <c r="D530" s="1"/>
  <c r="D529" s="1"/>
  <c r="D528" s="1"/>
  <c r="L540"/>
  <c r="M540" s="1"/>
  <c r="N540" s="1"/>
  <c r="O540" s="1"/>
  <c r="G540"/>
  <c r="F540" s="1"/>
  <c r="M539"/>
  <c r="N539" s="1"/>
  <c r="G539"/>
  <c r="F539" s="1"/>
  <c r="G538"/>
  <c r="F538" s="1"/>
  <c r="L537"/>
  <c r="M537" s="1"/>
  <c r="N537" s="1"/>
  <c r="O537" s="1"/>
  <c r="D537"/>
  <c r="E537" s="1"/>
  <c r="L536"/>
  <c r="M536" s="1"/>
  <c r="D536"/>
  <c r="E536" s="1"/>
  <c r="H536" s="1"/>
  <c r="K535"/>
  <c r="K534" s="1"/>
  <c r="J535"/>
  <c r="J534" s="1"/>
  <c r="I535"/>
  <c r="I534" s="1"/>
  <c r="N533"/>
  <c r="O533" s="1"/>
  <c r="M533"/>
  <c r="H533"/>
  <c r="E533"/>
  <c r="O532"/>
  <c r="G532"/>
  <c r="F532" s="1"/>
  <c r="O531"/>
  <c r="G531"/>
  <c r="G525"/>
  <c r="F525" s="1"/>
  <c r="O524"/>
  <c r="F524"/>
  <c r="O523"/>
  <c r="F523"/>
  <c r="O522"/>
  <c r="F522"/>
  <c r="O521"/>
  <c r="F521"/>
  <c r="O520"/>
  <c r="M520"/>
  <c r="F520"/>
  <c r="O519"/>
  <c r="F519"/>
  <c r="O518"/>
  <c r="G518"/>
  <c r="F518" s="1"/>
  <c r="O517"/>
  <c r="G517"/>
  <c r="F517" s="1"/>
  <c r="O516"/>
  <c r="G516"/>
  <c r="F516" s="1"/>
  <c r="O515"/>
  <c r="G515"/>
  <c r="F515" s="1"/>
  <c r="O514"/>
  <c r="M514"/>
  <c r="H514"/>
  <c r="G514" s="1"/>
  <c r="F514" s="1"/>
  <c r="O513"/>
  <c r="G513"/>
  <c r="F513" s="1"/>
  <c r="O512"/>
  <c r="E512"/>
  <c r="H512" s="1"/>
  <c r="G512" s="1"/>
  <c r="F512" s="1"/>
  <c r="O511"/>
  <c r="H511"/>
  <c r="G511" s="1"/>
  <c r="F511" s="1"/>
  <c r="O510"/>
  <c r="E510"/>
  <c r="N509"/>
  <c r="O509" s="1"/>
  <c r="J509"/>
  <c r="I509"/>
  <c r="L507"/>
  <c r="M507" s="1"/>
  <c r="N507" s="1"/>
  <c r="O507" s="1"/>
  <c r="D507"/>
  <c r="E507" s="1"/>
  <c r="H507" s="1"/>
  <c r="G507" s="1"/>
  <c r="F507" s="1"/>
  <c r="L506"/>
  <c r="M506" s="1"/>
  <c r="D506"/>
  <c r="E506" s="1"/>
  <c r="J505"/>
  <c r="J503" s="1"/>
  <c r="J502" s="1"/>
  <c r="I505"/>
  <c r="I503" s="1"/>
  <c r="D504"/>
  <c r="D503"/>
  <c r="D502" s="1"/>
  <c r="O501"/>
  <c r="G501"/>
  <c r="F501" s="1"/>
  <c r="O500"/>
  <c r="H500"/>
  <c r="O499"/>
  <c r="M499"/>
  <c r="E499"/>
  <c r="D499"/>
  <c r="O498"/>
  <c r="K21" i="26" s="1"/>
  <c r="J21" s="1"/>
  <c r="C21" s="1"/>
  <c r="C134" s="1"/>
  <c r="G498" i="75"/>
  <c r="F498" s="1"/>
  <c r="O497"/>
  <c r="G497"/>
  <c r="F497" s="1"/>
  <c r="O496"/>
  <c r="F496"/>
  <c r="O495"/>
  <c r="G495"/>
  <c r="F495" s="1"/>
  <c r="N494"/>
  <c r="O494" s="1"/>
  <c r="M494"/>
  <c r="I494"/>
  <c r="H494"/>
  <c r="E494"/>
  <c r="D494"/>
  <c r="N493"/>
  <c r="G493"/>
  <c r="F493" s="1"/>
  <c r="E493"/>
  <c r="M492"/>
  <c r="N492" s="1"/>
  <c r="G492"/>
  <c r="F492" s="1"/>
  <c r="E492"/>
  <c r="O491"/>
  <c r="G491"/>
  <c r="F491" s="1"/>
  <c r="E491"/>
  <c r="M490"/>
  <c r="L490"/>
  <c r="L489" s="1"/>
  <c r="K490"/>
  <c r="K489" s="1"/>
  <c r="J490"/>
  <c r="J489" s="1"/>
  <c r="I490"/>
  <c r="H490"/>
  <c r="D490"/>
  <c r="D489" s="1"/>
  <c r="D479" s="1"/>
  <c r="L487"/>
  <c r="M487" s="1"/>
  <c r="N487" s="1"/>
  <c r="O487" s="1"/>
  <c r="D487"/>
  <c r="E487" s="1"/>
  <c r="H487" s="1"/>
  <c r="G487" s="1"/>
  <c r="F487" s="1"/>
  <c r="L486"/>
  <c r="M486" s="1"/>
  <c r="N486" s="1"/>
  <c r="O486" s="1"/>
  <c r="D486"/>
  <c r="E486" s="1"/>
  <c r="H486" s="1"/>
  <c r="G486" s="1"/>
  <c r="O485"/>
  <c r="G485"/>
  <c r="F485" s="1"/>
  <c r="L484"/>
  <c r="M484" s="1"/>
  <c r="N484" s="1"/>
  <c r="O484" s="1"/>
  <c r="D484"/>
  <c r="E484" s="1"/>
  <c r="H484" s="1"/>
  <c r="G484" s="1"/>
  <c r="F484" s="1"/>
  <c r="L483"/>
  <c r="D483"/>
  <c r="O482"/>
  <c r="G482"/>
  <c r="K481"/>
  <c r="J481"/>
  <c r="I481"/>
  <c r="O480"/>
  <c r="G480"/>
  <c r="F480" s="1"/>
  <c r="N478"/>
  <c r="O477"/>
  <c r="O476"/>
  <c r="G476"/>
  <c r="M475"/>
  <c r="H475"/>
  <c r="G475" s="1"/>
  <c r="E475"/>
  <c r="G474"/>
  <c r="E474"/>
  <c r="M473"/>
  <c r="G473"/>
  <c r="E473"/>
  <c r="O472"/>
  <c r="M472"/>
  <c r="G472"/>
  <c r="F472" s="1"/>
  <c r="E472"/>
  <c r="N471"/>
  <c r="O471" s="1"/>
  <c r="M471"/>
  <c r="L471"/>
  <c r="L470" s="1"/>
  <c r="K471"/>
  <c r="K470" s="1"/>
  <c r="J471"/>
  <c r="J470" s="1"/>
  <c r="I471"/>
  <c r="I470" s="1"/>
  <c r="H471"/>
  <c r="D470"/>
  <c r="D460" s="1"/>
  <c r="L468"/>
  <c r="M468" s="1"/>
  <c r="N468" s="1"/>
  <c r="O468" s="1"/>
  <c r="D468"/>
  <c r="E468" s="1"/>
  <c r="H468" s="1"/>
  <c r="G468" s="1"/>
  <c r="F468" s="1"/>
  <c r="L467"/>
  <c r="M467" s="1"/>
  <c r="N467" s="1"/>
  <c r="O467" s="1"/>
  <c r="D467"/>
  <c r="E467" s="1"/>
  <c r="H467" s="1"/>
  <c r="G467" s="1"/>
  <c r="F467" s="1"/>
  <c r="O466"/>
  <c r="E466"/>
  <c r="H466" s="1"/>
  <c r="G466" s="1"/>
  <c r="F466" s="1"/>
  <c r="L465"/>
  <c r="M465" s="1"/>
  <c r="N465" s="1"/>
  <c r="O465" s="1"/>
  <c r="D465"/>
  <c r="E465" s="1"/>
  <c r="H465" s="1"/>
  <c r="G465" s="1"/>
  <c r="F465" s="1"/>
  <c r="L464"/>
  <c r="M464" s="1"/>
  <c r="N464" s="1"/>
  <c r="D464"/>
  <c r="R463"/>
  <c r="O463"/>
  <c r="G463"/>
  <c r="J462"/>
  <c r="I462"/>
  <c r="O461"/>
  <c r="G461"/>
  <c r="F461" s="1"/>
  <c r="O459"/>
  <c r="G459"/>
  <c r="F459" s="1"/>
  <c r="O458"/>
  <c r="G458"/>
  <c r="F458" s="1"/>
  <c r="O457"/>
  <c r="I457"/>
  <c r="H457"/>
  <c r="E457"/>
  <c r="O456"/>
  <c r="G456"/>
  <c r="F456" s="1"/>
  <c r="O455"/>
  <c r="I455"/>
  <c r="H455"/>
  <c r="E455"/>
  <c r="G454"/>
  <c r="F454" s="1"/>
  <c r="O453"/>
  <c r="G453"/>
  <c r="F453" s="1"/>
  <c r="O452"/>
  <c r="G452"/>
  <c r="F452" s="1"/>
  <c r="E452"/>
  <c r="O451"/>
  <c r="G451"/>
  <c r="F451" s="1"/>
  <c r="M450"/>
  <c r="N450" s="1"/>
  <c r="O450" s="1"/>
  <c r="O449"/>
  <c r="M449"/>
  <c r="O448"/>
  <c r="H448"/>
  <c r="B448"/>
  <c r="M447"/>
  <c r="N447" s="1"/>
  <c r="G447"/>
  <c r="F447" s="1"/>
  <c r="E447"/>
  <c r="L446"/>
  <c r="K446"/>
  <c r="J446"/>
  <c r="I446"/>
  <c r="D446"/>
  <c r="D445" s="1"/>
  <c r="L443"/>
  <c r="M443" s="1"/>
  <c r="N443" s="1"/>
  <c r="O443" s="1"/>
  <c r="D443"/>
  <c r="E443" s="1"/>
  <c r="H443" s="1"/>
  <c r="G443" s="1"/>
  <c r="F443" s="1"/>
  <c r="L442"/>
  <c r="M442" s="1"/>
  <c r="D442"/>
  <c r="E442" s="1"/>
  <c r="K441"/>
  <c r="K440" s="1"/>
  <c r="J441"/>
  <c r="J440" s="1"/>
  <c r="I441"/>
  <c r="I440" s="1"/>
  <c r="D440"/>
  <c r="D436" s="1"/>
  <c r="O439"/>
  <c r="G439"/>
  <c r="F439" s="1"/>
  <c r="O438"/>
  <c r="G438"/>
  <c r="F438" s="1"/>
  <c r="O435"/>
  <c r="F435"/>
  <c r="O434"/>
  <c r="F434"/>
  <c r="O433"/>
  <c r="F433"/>
  <c r="O432"/>
  <c r="G432"/>
  <c r="F432" s="1"/>
  <c r="O431"/>
  <c r="G431"/>
  <c r="F431" s="1"/>
  <c r="N430"/>
  <c r="M430"/>
  <c r="L430"/>
  <c r="K430"/>
  <c r="J430"/>
  <c r="I430"/>
  <c r="H430"/>
  <c r="E430"/>
  <c r="O429"/>
  <c r="G429"/>
  <c r="F429" s="1"/>
  <c r="O428"/>
  <c r="F428"/>
  <c r="O427"/>
  <c r="F427"/>
  <c r="O426"/>
  <c r="F426"/>
  <c r="O425"/>
  <c r="F425"/>
  <c r="O424"/>
  <c r="G424"/>
  <c r="F424" s="1"/>
  <c r="O423"/>
  <c r="G423"/>
  <c r="F423" s="1"/>
  <c r="N422"/>
  <c r="O422" s="1"/>
  <c r="M422"/>
  <c r="L422"/>
  <c r="K422"/>
  <c r="J422"/>
  <c r="I422"/>
  <c r="I421" s="1"/>
  <c r="H422"/>
  <c r="E422"/>
  <c r="D422"/>
  <c r="D421" s="1"/>
  <c r="M421"/>
  <c r="O420"/>
  <c r="F420"/>
  <c r="O419"/>
  <c r="F419"/>
  <c r="O418"/>
  <c r="F418"/>
  <c r="O417"/>
  <c r="F417"/>
  <c r="O416"/>
  <c r="F416"/>
  <c r="O415"/>
  <c r="G415"/>
  <c r="F415" s="1"/>
  <c r="O414"/>
  <c r="G414"/>
  <c r="F414" s="1"/>
  <c r="N413"/>
  <c r="K13" i="26" s="1"/>
  <c r="J13" s="1"/>
  <c r="C13" s="1"/>
  <c r="M413" i="75"/>
  <c r="L413"/>
  <c r="K413"/>
  <c r="J413"/>
  <c r="I413"/>
  <c r="H413"/>
  <c r="E413"/>
  <c r="D413"/>
  <c r="O412"/>
  <c r="G412"/>
  <c r="F412" s="1"/>
  <c r="O411"/>
  <c r="G411"/>
  <c r="F411" s="1"/>
  <c r="O410"/>
  <c r="G410"/>
  <c r="F410" s="1"/>
  <c r="O409"/>
  <c r="G409"/>
  <c r="F409" s="1"/>
  <c r="O408"/>
  <c r="G408"/>
  <c r="F408" s="1"/>
  <c r="O407"/>
  <c r="F407"/>
  <c r="O406"/>
  <c r="G406"/>
  <c r="F406" s="1"/>
  <c r="N405"/>
  <c r="K12" i="26" s="1"/>
  <c r="J12" s="1"/>
  <c r="C12" s="1"/>
  <c r="C125" s="1"/>
  <c r="M405" i="75"/>
  <c r="I405"/>
  <c r="H405"/>
  <c r="E405"/>
  <c r="D405"/>
  <c r="O404"/>
  <c r="G404"/>
  <c r="F404" s="1"/>
  <c r="O403"/>
  <c r="G403"/>
  <c r="F403" s="1"/>
  <c r="O402"/>
  <c r="G402"/>
  <c r="F402" s="1"/>
  <c r="N401"/>
  <c r="O401" s="1"/>
  <c r="M401"/>
  <c r="L401"/>
  <c r="K401"/>
  <c r="J401"/>
  <c r="I401"/>
  <c r="H401"/>
  <c r="E401"/>
  <c r="O400"/>
  <c r="G400"/>
  <c r="F400" s="1"/>
  <c r="O399"/>
  <c r="G399"/>
  <c r="F399" s="1"/>
  <c r="O398"/>
  <c r="G398"/>
  <c r="F398" s="1"/>
  <c r="N397"/>
  <c r="O397" s="1"/>
  <c r="M397"/>
  <c r="L397"/>
  <c r="K397"/>
  <c r="J397"/>
  <c r="I397"/>
  <c r="H397"/>
  <c r="E397"/>
  <c r="D397"/>
  <c r="O396"/>
  <c r="F396"/>
  <c r="O395"/>
  <c r="G395"/>
  <c r="F395" s="1"/>
  <c r="O394"/>
  <c r="G394"/>
  <c r="F394" s="1"/>
  <c r="N393"/>
  <c r="M393"/>
  <c r="L393"/>
  <c r="K393"/>
  <c r="J393"/>
  <c r="I393"/>
  <c r="H393"/>
  <c r="E393"/>
  <c r="O389"/>
  <c r="I389"/>
  <c r="G390"/>
  <c r="F390" s="1"/>
  <c r="L389"/>
  <c r="K389"/>
  <c r="J389"/>
  <c r="E389"/>
  <c r="P388"/>
  <c r="O387"/>
  <c r="F387"/>
  <c r="O386"/>
  <c r="F386"/>
  <c r="O385"/>
  <c r="F385"/>
  <c r="O384"/>
  <c r="F384"/>
  <c r="O383"/>
  <c r="F383"/>
  <c r="O382"/>
  <c r="F382"/>
  <c r="O381"/>
  <c r="F381"/>
  <c r="O380"/>
  <c r="G380"/>
  <c r="F380" s="1"/>
  <c r="O379"/>
  <c r="M379"/>
  <c r="G379"/>
  <c r="F379" s="1"/>
  <c r="E379"/>
  <c r="O378"/>
  <c r="G378"/>
  <c r="F378" s="1"/>
  <c r="E378"/>
  <c r="N377"/>
  <c r="O377" s="1"/>
  <c r="G377"/>
  <c r="F377" s="1"/>
  <c r="N376"/>
  <c r="O376" s="1"/>
  <c r="M376"/>
  <c r="H376"/>
  <c r="G376" s="1"/>
  <c r="F376" s="1"/>
  <c r="E376"/>
  <c r="O375"/>
  <c r="G375"/>
  <c r="F375" s="1"/>
  <c r="L374"/>
  <c r="K374"/>
  <c r="J374"/>
  <c r="I374"/>
  <c r="O373"/>
  <c r="G373"/>
  <c r="F373" s="1"/>
  <c r="O372"/>
  <c r="G372"/>
  <c r="F372" s="1"/>
  <c r="O371"/>
  <c r="G371"/>
  <c r="F371" s="1"/>
  <c r="O370"/>
  <c r="G370"/>
  <c r="F370" s="1"/>
  <c r="O369"/>
  <c r="G369"/>
  <c r="F369" s="1"/>
  <c r="N368"/>
  <c r="O368" s="1"/>
  <c r="M368"/>
  <c r="G368"/>
  <c r="F368" s="1"/>
  <c r="O367"/>
  <c r="G367"/>
  <c r="F367" s="1"/>
  <c r="M366"/>
  <c r="N366" s="1"/>
  <c r="G366"/>
  <c r="F366" s="1"/>
  <c r="L365"/>
  <c r="K365"/>
  <c r="J365"/>
  <c r="I365"/>
  <c r="H365"/>
  <c r="E365"/>
  <c r="D365"/>
  <c r="N364"/>
  <c r="O364" s="1"/>
  <c r="F364"/>
  <c r="O363"/>
  <c r="G363"/>
  <c r="F363" s="1"/>
  <c r="O362"/>
  <c r="H362"/>
  <c r="G362" s="1"/>
  <c r="F362" s="1"/>
  <c r="O361"/>
  <c r="M361"/>
  <c r="E361"/>
  <c r="H361" s="1"/>
  <c r="G361" s="1"/>
  <c r="F361" s="1"/>
  <c r="O360"/>
  <c r="H360"/>
  <c r="G360" s="1"/>
  <c r="F360" s="1"/>
  <c r="O359"/>
  <c r="M359"/>
  <c r="E359"/>
  <c r="H359" s="1"/>
  <c r="L358"/>
  <c r="K358"/>
  <c r="J358"/>
  <c r="I358"/>
  <c r="E358"/>
  <c r="D358"/>
  <c r="O357"/>
  <c r="G357"/>
  <c r="F357" s="1"/>
  <c r="O356"/>
  <c r="G356"/>
  <c r="F356" s="1"/>
  <c r="O355"/>
  <c r="G355"/>
  <c r="F355" s="1"/>
  <c r="E355"/>
  <c r="O354"/>
  <c r="G354"/>
  <c r="F354" s="1"/>
  <c r="O353"/>
  <c r="G353"/>
  <c r="F353" s="1"/>
  <c r="E353"/>
  <c r="N352"/>
  <c r="O352" s="1"/>
  <c r="M352"/>
  <c r="L352"/>
  <c r="K352"/>
  <c r="J352"/>
  <c r="I352"/>
  <c r="H352"/>
  <c r="D352"/>
  <c r="N351"/>
  <c r="O351" s="1"/>
  <c r="H351"/>
  <c r="G351" s="1"/>
  <c r="F351" s="1"/>
  <c r="N350"/>
  <c r="O350" s="1"/>
  <c r="G350"/>
  <c r="F350" s="1"/>
  <c r="M349"/>
  <c r="H349"/>
  <c r="G349" s="1"/>
  <c r="F349" s="1"/>
  <c r="N348"/>
  <c r="O348" s="1"/>
  <c r="H348"/>
  <c r="G348" s="1"/>
  <c r="F348" s="1"/>
  <c r="M347"/>
  <c r="N347" s="1"/>
  <c r="H347"/>
  <c r="G347" s="1"/>
  <c r="F347" s="1"/>
  <c r="L346"/>
  <c r="K346"/>
  <c r="J346"/>
  <c r="I346"/>
  <c r="E346"/>
  <c r="D346"/>
  <c r="O345"/>
  <c r="O344"/>
  <c r="O343"/>
  <c r="F343"/>
  <c r="O342"/>
  <c r="F342"/>
  <c r="O341"/>
  <c r="G341"/>
  <c r="F341" s="1"/>
  <c r="O340"/>
  <c r="G340"/>
  <c r="F340" s="1"/>
  <c r="G339"/>
  <c r="F339" s="1"/>
  <c r="O338"/>
  <c r="G338"/>
  <c r="F338" s="1"/>
  <c r="E338"/>
  <c r="O337"/>
  <c r="G337"/>
  <c r="F337" s="1"/>
  <c r="O336"/>
  <c r="G336"/>
  <c r="F336" s="1"/>
  <c r="O335"/>
  <c r="G335"/>
  <c r="F335" s="1"/>
  <c r="O334"/>
  <c r="G334"/>
  <c r="F334" s="1"/>
  <c r="O333"/>
  <c r="G333"/>
  <c r="F333" s="1"/>
  <c r="O332"/>
  <c r="G332"/>
  <c r="F332" s="1"/>
  <c r="O331"/>
  <c r="G331"/>
  <c r="F331" s="1"/>
  <c r="O330"/>
  <c r="G330"/>
  <c r="F330" s="1"/>
  <c r="O329"/>
  <c r="G329"/>
  <c r="F329" s="1"/>
  <c r="N328"/>
  <c r="O328" s="1"/>
  <c r="M328"/>
  <c r="L328"/>
  <c r="K328"/>
  <c r="J328"/>
  <c r="I328"/>
  <c r="H328"/>
  <c r="E328"/>
  <c r="D328"/>
  <c r="O327"/>
  <c r="G327"/>
  <c r="F327" s="1"/>
  <c r="O326"/>
  <c r="G326"/>
  <c r="F326" s="1"/>
  <c r="O325"/>
  <c r="G325"/>
  <c r="F325" s="1"/>
  <c r="N324"/>
  <c r="O324" s="1"/>
  <c r="G324"/>
  <c r="F324" s="1"/>
  <c r="M323"/>
  <c r="L323"/>
  <c r="K323"/>
  <c r="J323"/>
  <c r="I323"/>
  <c r="H323"/>
  <c r="E323"/>
  <c r="O322"/>
  <c r="O321"/>
  <c r="G321"/>
  <c r="F321" s="1"/>
  <c r="O320"/>
  <c r="G320"/>
  <c r="F320" s="1"/>
  <c r="O319"/>
  <c r="G319"/>
  <c r="F319" s="1"/>
  <c r="O318"/>
  <c r="H318"/>
  <c r="G318" s="1"/>
  <c r="F318" s="1"/>
  <c r="O317"/>
  <c r="H317"/>
  <c r="G317" s="1"/>
  <c r="F317" s="1"/>
  <c r="O316"/>
  <c r="H316"/>
  <c r="G316" s="1"/>
  <c r="F316" s="1"/>
  <c r="N315"/>
  <c r="O315" s="1"/>
  <c r="M315"/>
  <c r="L315"/>
  <c r="K315"/>
  <c r="J315"/>
  <c r="I315"/>
  <c r="E315"/>
  <c r="E314" s="1"/>
  <c r="O313"/>
  <c r="G313"/>
  <c r="F313" s="1"/>
  <c r="O312"/>
  <c r="G312"/>
  <c r="F312" s="1"/>
  <c r="O311"/>
  <c r="G311"/>
  <c r="F311" s="1"/>
  <c r="O310"/>
  <c r="G310"/>
  <c r="F310" s="1"/>
  <c r="O309"/>
  <c r="G309"/>
  <c r="F309" s="1"/>
  <c r="O308"/>
  <c r="G308"/>
  <c r="F308" s="1"/>
  <c r="O307"/>
  <c r="G307"/>
  <c r="F307" s="1"/>
  <c r="O306"/>
  <c r="G306"/>
  <c r="F306" s="1"/>
  <c r="O305"/>
  <c r="H305"/>
  <c r="G305" s="1"/>
  <c r="F305" s="1"/>
  <c r="O304"/>
  <c r="G304"/>
  <c r="F304" s="1"/>
  <c r="O303"/>
  <c r="H303"/>
  <c r="G303" s="1"/>
  <c r="F303" s="1"/>
  <c r="O302"/>
  <c r="H302"/>
  <c r="G302" s="1"/>
  <c r="F302" s="1"/>
  <c r="N301"/>
  <c r="P65" i="26" s="1"/>
  <c r="J65" s="1"/>
  <c r="M301" i="75"/>
  <c r="L301"/>
  <c r="K301"/>
  <c r="J301"/>
  <c r="I301"/>
  <c r="E301"/>
  <c r="O300"/>
  <c r="O299"/>
  <c r="G299"/>
  <c r="F299" s="1"/>
  <c r="O298"/>
  <c r="G298"/>
  <c r="F298" s="1"/>
  <c r="O297"/>
  <c r="G297"/>
  <c r="F297" s="1"/>
  <c r="O296"/>
  <c r="G296"/>
  <c r="F296" s="1"/>
  <c r="O295"/>
  <c r="G295"/>
  <c r="F295" s="1"/>
  <c r="O294"/>
  <c r="G294"/>
  <c r="F294" s="1"/>
  <c r="M293"/>
  <c r="N293" s="1"/>
  <c r="G293"/>
  <c r="F293" s="1"/>
  <c r="O292"/>
  <c r="G292"/>
  <c r="F292" s="1"/>
  <c r="O291"/>
  <c r="M291"/>
  <c r="G291"/>
  <c r="F291" s="1"/>
  <c r="L290"/>
  <c r="L289" s="1"/>
  <c r="K290"/>
  <c r="K289" s="1"/>
  <c r="J290"/>
  <c r="J289" s="1"/>
  <c r="I290"/>
  <c r="I289" s="1"/>
  <c r="H290"/>
  <c r="E290"/>
  <c r="E289" s="1"/>
  <c r="O288"/>
  <c r="G288"/>
  <c r="F288" s="1"/>
  <c r="G287"/>
  <c r="F287" s="1"/>
  <c r="O286"/>
  <c r="G286"/>
  <c r="F286" s="1"/>
  <c r="O285"/>
  <c r="M285"/>
  <c r="G285"/>
  <c r="F285" s="1"/>
  <c r="N284"/>
  <c r="O284" s="1"/>
  <c r="G284"/>
  <c r="F284" s="1"/>
  <c r="M283"/>
  <c r="N283" s="1"/>
  <c r="H283"/>
  <c r="G283" s="1"/>
  <c r="F283" s="1"/>
  <c r="N282"/>
  <c r="O282" s="1"/>
  <c r="H282"/>
  <c r="G282" s="1"/>
  <c r="F282" s="1"/>
  <c r="N281"/>
  <c r="O281" s="1"/>
  <c r="H281"/>
  <c r="G281" s="1"/>
  <c r="F281" s="1"/>
  <c r="L280"/>
  <c r="K280"/>
  <c r="K279" s="1"/>
  <c r="J280"/>
  <c r="J279" s="1"/>
  <c r="I280"/>
  <c r="I279" s="1"/>
  <c r="E280"/>
  <c r="E279" s="1"/>
  <c r="D280"/>
  <c r="D279" s="1"/>
  <c r="L279"/>
  <c r="O278"/>
  <c r="F278"/>
  <c r="O277"/>
  <c r="F277"/>
  <c r="O276"/>
  <c r="H276"/>
  <c r="G276" s="1"/>
  <c r="F276" s="1"/>
  <c r="O275"/>
  <c r="G275"/>
  <c r="F275" s="1"/>
  <c r="O274"/>
  <c r="G274"/>
  <c r="F274" s="1"/>
  <c r="O273"/>
  <c r="H273"/>
  <c r="G273" s="1"/>
  <c r="F273" s="1"/>
  <c r="O272"/>
  <c r="G272"/>
  <c r="F272" s="1"/>
  <c r="O271"/>
  <c r="G271"/>
  <c r="F271" s="1"/>
  <c r="N270"/>
  <c r="O270" s="1"/>
  <c r="H270"/>
  <c r="G270" s="1"/>
  <c r="F270" s="1"/>
  <c r="N269"/>
  <c r="O269" s="1"/>
  <c r="G269"/>
  <c r="F269" s="1"/>
  <c r="N268"/>
  <c r="O268" s="1"/>
  <c r="E268"/>
  <c r="H268" s="1"/>
  <c r="G268" s="1"/>
  <c r="F268" s="1"/>
  <c r="N267"/>
  <c r="O267" s="1"/>
  <c r="H267"/>
  <c r="G267" s="1"/>
  <c r="F267" s="1"/>
  <c r="M266"/>
  <c r="N266" s="1"/>
  <c r="O266" s="1"/>
  <c r="E266"/>
  <c r="H266" s="1"/>
  <c r="G266" s="1"/>
  <c r="L265"/>
  <c r="K265"/>
  <c r="J265"/>
  <c r="I265"/>
  <c r="E265"/>
  <c r="O264"/>
  <c r="F264"/>
  <c r="O263"/>
  <c r="F263"/>
  <c r="O262"/>
  <c r="H262"/>
  <c r="G262" s="1"/>
  <c r="O261"/>
  <c r="F261"/>
  <c r="B261"/>
  <c r="O260"/>
  <c r="F260"/>
  <c r="B260"/>
  <c r="O259"/>
  <c r="F259"/>
  <c r="O258"/>
  <c r="F258"/>
  <c r="N257"/>
  <c r="O257" s="1"/>
  <c r="M257"/>
  <c r="I257"/>
  <c r="L255"/>
  <c r="M255" s="1"/>
  <c r="N255" s="1"/>
  <c r="O255" s="1"/>
  <c r="D255"/>
  <c r="E255" s="1"/>
  <c r="H255" s="1"/>
  <c r="G255" s="1"/>
  <c r="F255" s="1"/>
  <c r="M254"/>
  <c r="N254" s="1"/>
  <c r="O254" s="1"/>
  <c r="E254"/>
  <c r="H254" s="1"/>
  <c r="G254" s="1"/>
  <c r="F254" s="1"/>
  <c r="L253"/>
  <c r="M256" s="1"/>
  <c r="N256" s="1"/>
  <c r="O256" s="1"/>
  <c r="D253"/>
  <c r="E256" s="1"/>
  <c r="H256" s="1"/>
  <c r="G256" s="1"/>
  <c r="F256" s="1"/>
  <c r="J252"/>
  <c r="J251" s="1"/>
  <c r="I252"/>
  <c r="N250"/>
  <c r="O250" s="1"/>
  <c r="H250"/>
  <c r="G250" s="1"/>
  <c r="F250" s="1"/>
  <c r="O249"/>
  <c r="G249"/>
  <c r="F249" s="1"/>
  <c r="N248"/>
  <c r="M248"/>
  <c r="I248"/>
  <c r="E248"/>
  <c r="O247"/>
  <c r="F247"/>
  <c r="O246"/>
  <c r="G246"/>
  <c r="F246" s="1"/>
  <c r="G245"/>
  <c r="F245" s="1"/>
  <c r="O244"/>
  <c r="G244"/>
  <c r="F244" s="1"/>
  <c r="O243"/>
  <c r="G243"/>
  <c r="F243" s="1"/>
  <c r="O242"/>
  <c r="H242"/>
  <c r="G242" s="1"/>
  <c r="F242" s="1"/>
  <c r="O241"/>
  <c r="G241"/>
  <c r="F241" s="1"/>
  <c r="B241"/>
  <c r="O240"/>
  <c r="H240"/>
  <c r="G240" s="1"/>
  <c r="F240" s="1"/>
  <c r="O239"/>
  <c r="H239"/>
  <c r="G239" s="1"/>
  <c r="F239" s="1"/>
  <c r="O238"/>
  <c r="E238"/>
  <c r="H238" s="1"/>
  <c r="O237"/>
  <c r="M237"/>
  <c r="I237"/>
  <c r="E237"/>
  <c r="D237"/>
  <c r="L235"/>
  <c r="M235" s="1"/>
  <c r="N235" s="1"/>
  <c r="O235" s="1"/>
  <c r="D235"/>
  <c r="E235" s="1"/>
  <c r="H235" s="1"/>
  <c r="G235" s="1"/>
  <c r="F235" s="1"/>
  <c r="L234"/>
  <c r="M234" s="1"/>
  <c r="N234" s="1"/>
  <c r="O234" s="1"/>
  <c r="E234"/>
  <c r="H234" s="1"/>
  <c r="G234" s="1"/>
  <c r="F234" s="1"/>
  <c r="L233"/>
  <c r="M233" s="1"/>
  <c r="N233" s="1"/>
  <c r="D233"/>
  <c r="E233" s="1"/>
  <c r="J232"/>
  <c r="J231" s="1"/>
  <c r="I232"/>
  <c r="I231" s="1"/>
  <c r="O230"/>
  <c r="O229"/>
  <c r="F229"/>
  <c r="O228"/>
  <c r="G228"/>
  <c r="F228" s="1"/>
  <c r="N227"/>
  <c r="O227" s="1"/>
  <c r="G227"/>
  <c r="F227" s="1"/>
  <c r="N226"/>
  <c r="O226" s="1"/>
  <c r="G226"/>
  <c r="F226" s="1"/>
  <c r="N225"/>
  <c r="O225" s="1"/>
  <c r="G225"/>
  <c r="F225" s="1"/>
  <c r="B225"/>
  <c r="N224"/>
  <c r="O224" s="1"/>
  <c r="G224"/>
  <c r="F224" s="1"/>
  <c r="B224"/>
  <c r="N223"/>
  <c r="G223"/>
  <c r="F223" s="1"/>
  <c r="M222"/>
  <c r="J222"/>
  <c r="I222"/>
  <c r="H222"/>
  <c r="E222"/>
  <c r="D222"/>
  <c r="L220"/>
  <c r="M220" s="1"/>
  <c r="N220" s="1"/>
  <c r="O220" s="1"/>
  <c r="D220"/>
  <c r="E220" s="1"/>
  <c r="H220" s="1"/>
  <c r="G220" s="1"/>
  <c r="F220" s="1"/>
  <c r="L219"/>
  <c r="M219" s="1"/>
  <c r="N219" s="1"/>
  <c r="O219" s="1"/>
  <c r="E219"/>
  <c r="H219" s="1"/>
  <c r="G219" s="1"/>
  <c r="F219" s="1"/>
  <c r="L218"/>
  <c r="M218" s="1"/>
  <c r="N218" s="1"/>
  <c r="D218"/>
  <c r="E218" s="1"/>
  <c r="J217"/>
  <c r="I217"/>
  <c r="O215"/>
  <c r="F215"/>
  <c r="O214"/>
  <c r="F214"/>
  <c r="O213"/>
  <c r="F213"/>
  <c r="O212"/>
  <c r="F212"/>
  <c r="O211"/>
  <c r="G211"/>
  <c r="F211" s="1"/>
  <c r="O210"/>
  <c r="G210"/>
  <c r="F210" s="1"/>
  <c r="O209"/>
  <c r="G209"/>
  <c r="F209" s="1"/>
  <c r="O208"/>
  <c r="H208"/>
  <c r="G208" s="1"/>
  <c r="F208" s="1"/>
  <c r="O207"/>
  <c r="G207"/>
  <c r="F207" s="1"/>
  <c r="O206"/>
  <c r="H206"/>
  <c r="G206" s="1"/>
  <c r="F206" s="1"/>
  <c r="O205"/>
  <c r="H205"/>
  <c r="G205" s="1"/>
  <c r="F205" s="1"/>
  <c r="O204"/>
  <c r="H204"/>
  <c r="G204" s="1"/>
  <c r="F204" s="1"/>
  <c r="N203"/>
  <c r="O203" s="1"/>
  <c r="M203"/>
  <c r="L203"/>
  <c r="K203"/>
  <c r="I203"/>
  <c r="E203"/>
  <c r="L201"/>
  <c r="M201" s="1"/>
  <c r="N201" s="1"/>
  <c r="O201" s="1"/>
  <c r="D201"/>
  <c r="E201" s="1"/>
  <c r="H201" s="1"/>
  <c r="G201" s="1"/>
  <c r="F201" s="1"/>
  <c r="M200"/>
  <c r="N200" s="1"/>
  <c r="O200" s="1"/>
  <c r="E200"/>
  <c r="H200" s="1"/>
  <c r="G200" s="1"/>
  <c r="F200" s="1"/>
  <c r="L199"/>
  <c r="M199" s="1"/>
  <c r="J199"/>
  <c r="J198" s="1"/>
  <c r="J197" s="1"/>
  <c r="D199"/>
  <c r="E199" s="1"/>
  <c r="I198"/>
  <c r="F196"/>
  <c r="O195"/>
  <c r="F195"/>
  <c r="O194"/>
  <c r="F194"/>
  <c r="F193"/>
  <c r="O192"/>
  <c r="F192"/>
  <c r="O191"/>
  <c r="G191"/>
  <c r="F191" s="1"/>
  <c r="O190"/>
  <c r="G190"/>
  <c r="F190" s="1"/>
  <c r="O189"/>
  <c r="G189"/>
  <c r="F189" s="1"/>
  <c r="O188"/>
  <c r="G188"/>
  <c r="F188" s="1"/>
  <c r="O187"/>
  <c r="G187"/>
  <c r="F187" s="1"/>
  <c r="O186"/>
  <c r="G186"/>
  <c r="F186" s="1"/>
  <c r="O185"/>
  <c r="G185"/>
  <c r="F185" s="1"/>
  <c r="O184"/>
  <c r="G184"/>
  <c r="F184" s="1"/>
  <c r="O183"/>
  <c r="G183"/>
  <c r="F183" s="1"/>
  <c r="O182"/>
  <c r="G182"/>
  <c r="F182" s="1"/>
  <c r="E182"/>
  <c r="N181"/>
  <c r="O181" s="1"/>
  <c r="G181"/>
  <c r="F181" s="1"/>
  <c r="N180"/>
  <c r="O180" s="1"/>
  <c r="G180"/>
  <c r="F180" s="1"/>
  <c r="N179"/>
  <c r="O179" s="1"/>
  <c r="G179"/>
  <c r="F179" s="1"/>
  <c r="E179"/>
  <c r="N178"/>
  <c r="O178" s="1"/>
  <c r="G178"/>
  <c r="F178" s="1"/>
  <c r="N177"/>
  <c r="G177"/>
  <c r="F177" s="1"/>
  <c r="E177"/>
  <c r="M176"/>
  <c r="J176"/>
  <c r="I176"/>
  <c r="H176"/>
  <c r="L174"/>
  <c r="M174" s="1"/>
  <c r="N174" s="1"/>
  <c r="O174" s="1"/>
  <c r="D174"/>
  <c r="E174" s="1"/>
  <c r="L173"/>
  <c r="M173" s="1"/>
  <c r="N173" s="1"/>
  <c r="O173" s="1"/>
  <c r="E173"/>
  <c r="H173" s="1"/>
  <c r="G173" s="1"/>
  <c r="F173" s="1"/>
  <c r="L172"/>
  <c r="M175" s="1"/>
  <c r="N175" s="1"/>
  <c r="O175" s="1"/>
  <c r="D172"/>
  <c r="E175" s="1"/>
  <c r="H175" s="1"/>
  <c r="G175" s="1"/>
  <c r="F175" s="1"/>
  <c r="J171"/>
  <c r="I171"/>
  <c r="D170"/>
  <c r="O169"/>
  <c r="F169"/>
  <c r="O168"/>
  <c r="G168"/>
  <c r="F168" s="1"/>
  <c r="O167"/>
  <c r="G167"/>
  <c r="F167" s="1"/>
  <c r="O166"/>
  <c r="G166"/>
  <c r="F166" s="1"/>
  <c r="O165"/>
  <c r="G165"/>
  <c r="F165" s="1"/>
  <c r="O164"/>
  <c r="O163"/>
  <c r="O162"/>
  <c r="F162"/>
  <c r="O161"/>
  <c r="F161"/>
  <c r="O160"/>
  <c r="F160"/>
  <c r="O159"/>
  <c r="G159"/>
  <c r="F159" s="1"/>
  <c r="O158"/>
  <c r="G158"/>
  <c r="F158" s="1"/>
  <c r="O157"/>
  <c r="G157"/>
  <c r="F157" s="1"/>
  <c r="O156"/>
  <c r="G156"/>
  <c r="F156" s="1"/>
  <c r="O155"/>
  <c r="G155"/>
  <c r="F155" s="1"/>
  <c r="O154"/>
  <c r="G154"/>
  <c r="F154" s="1"/>
  <c r="E154"/>
  <c r="O153"/>
  <c r="G153"/>
  <c r="F153" s="1"/>
  <c r="O152"/>
  <c r="G152"/>
  <c r="F152" s="1"/>
  <c r="O151"/>
  <c r="G151"/>
  <c r="F151" s="1"/>
  <c r="O150"/>
  <c r="G150"/>
  <c r="F150" s="1"/>
  <c r="O149"/>
  <c r="G149"/>
  <c r="F149" s="1"/>
  <c r="G147"/>
  <c r="F147" s="1"/>
  <c r="O146"/>
  <c r="G146"/>
  <c r="F146" s="1"/>
  <c r="O145"/>
  <c r="H145"/>
  <c r="G145" s="1"/>
  <c r="F145" s="1"/>
  <c r="O144"/>
  <c r="G144"/>
  <c r="F144" s="1"/>
  <c r="O143"/>
  <c r="H143"/>
  <c r="G143" s="1"/>
  <c r="F143" s="1"/>
  <c r="B143"/>
  <c r="O142"/>
  <c r="H142"/>
  <c r="G142" s="1"/>
  <c r="F142" s="1"/>
  <c r="O141"/>
  <c r="H141"/>
  <c r="G141" s="1"/>
  <c r="F141" s="1"/>
  <c r="B141"/>
  <c r="O140"/>
  <c r="M140"/>
  <c r="L140"/>
  <c r="K140"/>
  <c r="I140"/>
  <c r="E140"/>
  <c r="D140"/>
  <c r="L138"/>
  <c r="M138" s="1"/>
  <c r="N138" s="1"/>
  <c r="O138" s="1"/>
  <c r="D138"/>
  <c r="E138" s="1"/>
  <c r="H138" s="1"/>
  <c r="G138" s="1"/>
  <c r="F138" s="1"/>
  <c r="L137"/>
  <c r="M137" s="1"/>
  <c r="N137" s="1"/>
  <c r="O137" s="1"/>
  <c r="E137"/>
  <c r="H137" s="1"/>
  <c r="G137" s="1"/>
  <c r="F137" s="1"/>
  <c r="L136"/>
  <c r="M136" s="1"/>
  <c r="N136" s="1"/>
  <c r="D136"/>
  <c r="E136" s="1"/>
  <c r="J135"/>
  <c r="J134" s="1"/>
  <c r="I135"/>
  <c r="I134" s="1"/>
  <c r="O133"/>
  <c r="O132"/>
  <c r="O131"/>
  <c r="F131"/>
  <c r="O130"/>
  <c r="F130"/>
  <c r="O129"/>
  <c r="F129"/>
  <c r="O128"/>
  <c r="G128"/>
  <c r="F128" s="1"/>
  <c r="O127"/>
  <c r="G127"/>
  <c r="F127" s="1"/>
  <c r="O126"/>
  <c r="G126"/>
  <c r="F126" s="1"/>
  <c r="O125"/>
  <c r="G125"/>
  <c r="F125" s="1"/>
  <c r="O124"/>
  <c r="G124"/>
  <c r="F124" s="1"/>
  <c r="O123"/>
  <c r="G123"/>
  <c r="F123" s="1"/>
  <c r="O122"/>
  <c r="G122"/>
  <c r="F122" s="1"/>
  <c r="O121"/>
  <c r="G121"/>
  <c r="F121" s="1"/>
  <c r="O120"/>
  <c r="G120"/>
  <c r="F120" s="1"/>
  <c r="O119"/>
  <c r="G119"/>
  <c r="F119" s="1"/>
  <c r="O118"/>
  <c r="G118"/>
  <c r="F118" s="1"/>
  <c r="O117"/>
  <c r="G117"/>
  <c r="F117" s="1"/>
  <c r="O116"/>
  <c r="G116"/>
  <c r="F116" s="1"/>
  <c r="O115"/>
  <c r="M115"/>
  <c r="G115"/>
  <c r="F115" s="1"/>
  <c r="E115"/>
  <c r="O114"/>
  <c r="G114"/>
  <c r="F114" s="1"/>
  <c r="O113"/>
  <c r="G113"/>
  <c r="F113" s="1"/>
  <c r="O112"/>
  <c r="G112"/>
  <c r="F112" s="1"/>
  <c r="O111"/>
  <c r="M111"/>
  <c r="G111"/>
  <c r="F111" s="1"/>
  <c r="O110"/>
  <c r="G110"/>
  <c r="F110" s="1"/>
  <c r="O109"/>
  <c r="G109"/>
  <c r="F109" s="1"/>
  <c r="O108"/>
  <c r="G108"/>
  <c r="F108" s="1"/>
  <c r="O107"/>
  <c r="M107"/>
  <c r="H107"/>
  <c r="G107" s="1"/>
  <c r="F107" s="1"/>
  <c r="O106"/>
  <c r="M106"/>
  <c r="G106"/>
  <c r="F106" s="1"/>
  <c r="O105"/>
  <c r="M105"/>
  <c r="E105"/>
  <c r="H105" s="1"/>
  <c r="G105" s="1"/>
  <c r="F105" s="1"/>
  <c r="O104"/>
  <c r="H104"/>
  <c r="G104" s="1"/>
  <c r="F104" s="1"/>
  <c r="O103"/>
  <c r="M103"/>
  <c r="H103"/>
  <c r="G103" s="1"/>
  <c r="F103" s="1"/>
  <c r="R102"/>
  <c r="N102"/>
  <c r="O102" s="1"/>
  <c r="J102"/>
  <c r="I102"/>
  <c r="D102"/>
  <c r="B101"/>
  <c r="O100"/>
  <c r="M99"/>
  <c r="N99" s="1"/>
  <c r="O99" s="1"/>
  <c r="E99"/>
  <c r="H99" s="1"/>
  <c r="G99" s="1"/>
  <c r="F99" s="1"/>
  <c r="L98"/>
  <c r="M98" s="1"/>
  <c r="N98" s="1"/>
  <c r="O98" s="1"/>
  <c r="D98"/>
  <c r="E98" s="1"/>
  <c r="H98" s="1"/>
  <c r="G98" s="1"/>
  <c r="F98" s="1"/>
  <c r="L97"/>
  <c r="M97" s="1"/>
  <c r="N97" s="1"/>
  <c r="O97" s="1"/>
  <c r="D97"/>
  <c r="E97" s="1"/>
  <c r="H97" s="1"/>
  <c r="G97" s="1"/>
  <c r="F97" s="1"/>
  <c r="B97"/>
  <c r="M96"/>
  <c r="N96" s="1"/>
  <c r="O96" s="1"/>
  <c r="E96"/>
  <c r="H96" s="1"/>
  <c r="G96" s="1"/>
  <c r="F96" s="1"/>
  <c r="L95"/>
  <c r="M95" s="1"/>
  <c r="N95" s="1"/>
  <c r="D95"/>
  <c r="E95" s="1"/>
  <c r="J94"/>
  <c r="J93" s="1"/>
  <c r="J92" s="1"/>
  <c r="I94"/>
  <c r="I93" s="1"/>
  <c r="I92" s="1"/>
  <c r="O91"/>
  <c r="O90"/>
  <c r="F90"/>
  <c r="O89"/>
  <c r="F89"/>
  <c r="O88"/>
  <c r="F88"/>
  <c r="O87"/>
  <c r="G87"/>
  <c r="F87" s="1"/>
  <c r="O86"/>
  <c r="G86"/>
  <c r="F86" s="1"/>
  <c r="O85"/>
  <c r="G85"/>
  <c r="F85" s="1"/>
  <c r="O84"/>
  <c r="G84"/>
  <c r="F84" s="1"/>
  <c r="O83"/>
  <c r="G83"/>
  <c r="F83" s="1"/>
  <c r="O82"/>
  <c r="G82"/>
  <c r="F82" s="1"/>
  <c r="O81"/>
  <c r="G81"/>
  <c r="F81" s="1"/>
  <c r="O80"/>
  <c r="G80"/>
  <c r="F80" s="1"/>
  <c r="O79"/>
  <c r="H79"/>
  <c r="G79" s="1"/>
  <c r="F79" s="1"/>
  <c r="O78"/>
  <c r="M78"/>
  <c r="G78"/>
  <c r="F78" s="1"/>
  <c r="E78"/>
  <c r="O77"/>
  <c r="H77"/>
  <c r="G77" s="1"/>
  <c r="F77" s="1"/>
  <c r="O76"/>
  <c r="G76"/>
  <c r="F76" s="1"/>
  <c r="O75"/>
  <c r="G75"/>
  <c r="F75" s="1"/>
  <c r="O74"/>
  <c r="G74"/>
  <c r="F74" s="1"/>
  <c r="O73"/>
  <c r="G73"/>
  <c r="F73" s="1"/>
  <c r="G72"/>
  <c r="F72" s="1"/>
  <c r="E72"/>
  <c r="E65" s="1"/>
  <c r="N71"/>
  <c r="O71" s="1"/>
  <c r="G71"/>
  <c r="F71" s="1"/>
  <c r="O70"/>
  <c r="G70"/>
  <c r="F70" s="1"/>
  <c r="N69"/>
  <c r="O69" s="1"/>
  <c r="G69"/>
  <c r="F69" s="1"/>
  <c r="N68"/>
  <c r="O68" s="1"/>
  <c r="G68"/>
  <c r="F68" s="1"/>
  <c r="N67"/>
  <c r="O67" s="1"/>
  <c r="G67"/>
  <c r="F67" s="1"/>
  <c r="O66"/>
  <c r="G66"/>
  <c r="F66" s="1"/>
  <c r="J65"/>
  <c r="I65"/>
  <c r="D65"/>
  <c r="O64"/>
  <c r="F64"/>
  <c r="O63"/>
  <c r="F63"/>
  <c r="O62"/>
  <c r="F62"/>
  <c r="O61"/>
  <c r="F61"/>
  <c r="O60"/>
  <c r="G60"/>
  <c r="F60" s="1"/>
  <c r="O59"/>
  <c r="G59"/>
  <c r="F59" s="1"/>
  <c r="O58"/>
  <c r="M58"/>
  <c r="G58"/>
  <c r="F58" s="1"/>
  <c r="E58"/>
  <c r="O57"/>
  <c r="G57"/>
  <c r="F57" s="1"/>
  <c r="O56"/>
  <c r="G56"/>
  <c r="F56" s="1"/>
  <c r="N55"/>
  <c r="O55" s="1"/>
  <c r="H55"/>
  <c r="G55" s="1"/>
  <c r="E55"/>
  <c r="O54"/>
  <c r="G54"/>
  <c r="F54" s="1"/>
  <c r="E54"/>
  <c r="O53"/>
  <c r="G53"/>
  <c r="F53" s="1"/>
  <c r="O52"/>
  <c r="G52"/>
  <c r="F52" s="1"/>
  <c r="O51"/>
  <c r="G51"/>
  <c r="F51" s="1"/>
  <c r="O50"/>
  <c r="G50"/>
  <c r="F50" s="1"/>
  <c r="O49"/>
  <c r="G49"/>
  <c r="F49" s="1"/>
  <c r="O48"/>
  <c r="G48"/>
  <c r="F48" s="1"/>
  <c r="O47"/>
  <c r="G47"/>
  <c r="F47" s="1"/>
  <c r="O46"/>
  <c r="G46"/>
  <c r="F46" s="1"/>
  <c r="O44"/>
  <c r="G44"/>
  <c r="F44" s="1"/>
  <c r="O43"/>
  <c r="G43"/>
  <c r="F43" s="1"/>
  <c r="O42"/>
  <c r="G42"/>
  <c r="F42" s="1"/>
  <c r="O41"/>
  <c r="G41"/>
  <c r="F41" s="1"/>
  <c r="O40"/>
  <c r="G40"/>
  <c r="F40" s="1"/>
  <c r="O39"/>
  <c r="G39"/>
  <c r="F39" s="1"/>
  <c r="O38"/>
  <c r="G38"/>
  <c r="F38" s="1"/>
  <c r="O37"/>
  <c r="G37"/>
  <c r="F37" s="1"/>
  <c r="O36"/>
  <c r="G36"/>
  <c r="F36" s="1"/>
  <c r="N35"/>
  <c r="O35" s="1"/>
  <c r="M35"/>
  <c r="J35"/>
  <c r="J24" s="1"/>
  <c r="G35"/>
  <c r="E35"/>
  <c r="O34"/>
  <c r="G34"/>
  <c r="F34" s="1"/>
  <c r="O33"/>
  <c r="G33"/>
  <c r="F33" s="1"/>
  <c r="O32"/>
  <c r="G32"/>
  <c r="F32" s="1"/>
  <c r="O31"/>
  <c r="G31"/>
  <c r="F31" s="1"/>
  <c r="O30"/>
  <c r="G30"/>
  <c r="F30" s="1"/>
  <c r="M29"/>
  <c r="N29" s="1"/>
  <c r="O29" s="1"/>
  <c r="G29"/>
  <c r="F29" s="1"/>
  <c r="E29"/>
  <c r="B29"/>
  <c r="O28"/>
  <c r="G28"/>
  <c r="F28" s="1"/>
  <c r="O27"/>
  <c r="G27"/>
  <c r="F27" s="1"/>
  <c r="O26"/>
  <c r="G26"/>
  <c r="F26" s="1"/>
  <c r="E26"/>
  <c r="O25"/>
  <c r="G25"/>
  <c r="F25" s="1"/>
  <c r="E25"/>
  <c r="M24"/>
  <c r="I24"/>
  <c r="I16" s="1"/>
  <c r="B24"/>
  <c r="L22"/>
  <c r="M22" s="1"/>
  <c r="N22" s="1"/>
  <c r="O22" s="1"/>
  <c r="D22"/>
  <c r="E22" s="1"/>
  <c r="H22" s="1"/>
  <c r="G22" s="1"/>
  <c r="F22" s="1"/>
  <c r="L21"/>
  <c r="M21" s="1"/>
  <c r="N21" s="1"/>
  <c r="O21" s="1"/>
  <c r="D21"/>
  <c r="E21" s="1"/>
  <c r="H21" s="1"/>
  <c r="G21" s="1"/>
  <c r="F21" s="1"/>
  <c r="L20"/>
  <c r="M20" s="1"/>
  <c r="J20"/>
  <c r="J19" s="1"/>
  <c r="D20"/>
  <c r="E20" s="1"/>
  <c r="O18"/>
  <c r="G18"/>
  <c r="O17"/>
  <c r="G17"/>
  <c r="C126" i="26" l="1"/>
  <c r="D11" i="17"/>
  <c r="D10" s="1"/>
  <c r="N48" i="63"/>
  <c r="N46" s="1"/>
  <c r="U42"/>
  <c r="K48"/>
  <c r="K46" s="1"/>
  <c r="U51"/>
  <c r="M488" i="75"/>
  <c r="N488" s="1"/>
  <c r="O488" s="1"/>
  <c r="U28" i="63"/>
  <c r="Q48"/>
  <c r="Q46" s="1"/>
  <c r="H48"/>
  <c r="H46" s="1"/>
  <c r="N323" i="75"/>
  <c r="O323" s="1"/>
  <c r="N358"/>
  <c r="P69" i="26" s="1"/>
  <c r="J69" s="1"/>
  <c r="C69" s="1"/>
  <c r="K726" i="75"/>
  <c r="U16" i="63"/>
  <c r="U32"/>
  <c r="U30" s="1"/>
  <c r="C18" i="17" s="1"/>
  <c r="D18" s="1"/>
  <c r="U44" i="63"/>
  <c r="I197" i="75"/>
  <c r="E421"/>
  <c r="J726"/>
  <c r="N10" i="63"/>
  <c r="U26"/>
  <c r="U49"/>
  <c r="N14"/>
  <c r="U12"/>
  <c r="U17"/>
  <c r="U19"/>
  <c r="U14"/>
  <c r="P781" i="75"/>
  <c r="E51" i="26"/>
  <c r="K11" i="63"/>
  <c r="Q11"/>
  <c r="T11"/>
  <c r="T10" s="1"/>
  <c r="H15"/>
  <c r="T15"/>
  <c r="U21"/>
  <c r="U22"/>
  <c r="U27"/>
  <c r="E30"/>
  <c r="U36"/>
  <c r="U37"/>
  <c r="K33"/>
  <c r="U38"/>
  <c r="U39"/>
  <c r="U40"/>
  <c r="U50"/>
  <c r="U52"/>
  <c r="K10"/>
  <c r="Q10"/>
  <c r="H33"/>
  <c r="N33"/>
  <c r="T33"/>
  <c r="U56"/>
  <c r="U54" s="1"/>
  <c r="J83" i="26"/>
  <c r="C83" s="1"/>
  <c r="U13" i="63"/>
  <c r="H10"/>
  <c r="C23" i="26"/>
  <c r="C84"/>
  <c r="O248" i="75"/>
  <c r="O573"/>
  <c r="N572"/>
  <c r="D90" i="26"/>
  <c r="O65" i="75"/>
  <c r="V86" i="26"/>
  <c r="J86" s="1"/>
  <c r="C86" s="1"/>
  <c r="R390" i="75"/>
  <c r="N365"/>
  <c r="J170"/>
  <c r="O347"/>
  <c r="O223"/>
  <c r="N222"/>
  <c r="O222" s="1"/>
  <c r="I170"/>
  <c r="E176"/>
  <c r="L618"/>
  <c r="L616" s="1"/>
  <c r="L615" s="1"/>
  <c r="J618"/>
  <c r="J616" s="1"/>
  <c r="J615" s="1"/>
  <c r="E658"/>
  <c r="I314"/>
  <c r="K314"/>
  <c r="M314"/>
  <c r="H489"/>
  <c r="E471"/>
  <c r="E470" s="1"/>
  <c r="O177"/>
  <c r="N176"/>
  <c r="O176" s="1"/>
  <c r="L392"/>
  <c r="M635"/>
  <c r="J392"/>
  <c r="I599"/>
  <c r="G635"/>
  <c r="F635" s="1"/>
  <c r="E635"/>
  <c r="I645"/>
  <c r="K618"/>
  <c r="K616" s="1"/>
  <c r="K615" s="1"/>
  <c r="I618"/>
  <c r="I616" s="1"/>
  <c r="N726"/>
  <c r="O726" s="1"/>
  <c r="E549"/>
  <c r="G494"/>
  <c r="F494" s="1"/>
  <c r="H600"/>
  <c r="H599" s="1"/>
  <c r="G658"/>
  <c r="M102"/>
  <c r="M65"/>
  <c r="J216"/>
  <c r="E257"/>
  <c r="G290"/>
  <c r="F290" s="1"/>
  <c r="J314"/>
  <c r="L314"/>
  <c r="H346"/>
  <c r="G346" s="1"/>
  <c r="F346" s="1"/>
  <c r="N600"/>
  <c r="M600"/>
  <c r="M599" s="1"/>
  <c r="M374"/>
  <c r="G393"/>
  <c r="F393" s="1"/>
  <c r="K11" i="26"/>
  <c r="J11" s="1"/>
  <c r="C11" s="1"/>
  <c r="G413" i="75"/>
  <c r="F413" s="1"/>
  <c r="I251"/>
  <c r="K703"/>
  <c r="M365"/>
  <c r="I594"/>
  <c r="G328"/>
  <c r="F328" s="1"/>
  <c r="I703"/>
  <c r="G323"/>
  <c r="F323" s="1"/>
  <c r="G365"/>
  <c r="F365" s="1"/>
  <c r="H289"/>
  <c r="G289" s="1"/>
  <c r="F289" s="1"/>
  <c r="I445"/>
  <c r="I437" s="1"/>
  <c r="M470"/>
  <c r="M489"/>
  <c r="N490"/>
  <c r="N489" s="1"/>
  <c r="O489" s="1"/>
  <c r="H543"/>
  <c r="G549"/>
  <c r="F549" s="1"/>
  <c r="G573"/>
  <c r="F573" s="1"/>
  <c r="I687"/>
  <c r="G745"/>
  <c r="F745" s="1"/>
  <c r="F35"/>
  <c r="E102"/>
  <c r="G176"/>
  <c r="F176" s="1"/>
  <c r="H203"/>
  <c r="G203" s="1"/>
  <c r="I216"/>
  <c r="G222"/>
  <c r="F222" s="1"/>
  <c r="H280"/>
  <c r="M290"/>
  <c r="M289" s="1"/>
  <c r="E352"/>
  <c r="M358"/>
  <c r="H374"/>
  <c r="G374" s="1"/>
  <c r="F374" s="1"/>
  <c r="N374"/>
  <c r="O374" s="1"/>
  <c r="F389"/>
  <c r="I392"/>
  <c r="K392"/>
  <c r="M392"/>
  <c r="G397"/>
  <c r="F397" s="1"/>
  <c r="E446"/>
  <c r="E445" s="1"/>
  <c r="N446"/>
  <c r="N445" s="1"/>
  <c r="O445" s="1"/>
  <c r="I460"/>
  <c r="M28" i="26"/>
  <c r="J28" s="1"/>
  <c r="C28" s="1"/>
  <c r="G655" i="75"/>
  <c r="O658"/>
  <c r="G588"/>
  <c r="F588" s="1"/>
  <c r="J703"/>
  <c r="G727"/>
  <c r="F727" s="1"/>
  <c r="O283"/>
  <c r="N280"/>
  <c r="H537"/>
  <c r="G537" s="1"/>
  <c r="F537" s="1"/>
  <c r="E535"/>
  <c r="E534" s="1"/>
  <c r="M626"/>
  <c r="N626" s="1"/>
  <c r="M634"/>
  <c r="N634" s="1"/>
  <c r="O634" s="1"/>
  <c r="M630"/>
  <c r="N630" s="1"/>
  <c r="O630" s="1"/>
  <c r="E24"/>
  <c r="H248"/>
  <c r="G248" s="1"/>
  <c r="F248" s="1"/>
  <c r="M265"/>
  <c r="H389"/>
  <c r="G389" s="1"/>
  <c r="O413"/>
  <c r="D388"/>
  <c r="G455"/>
  <c r="F455" s="1"/>
  <c r="J460"/>
  <c r="G471"/>
  <c r="F471" s="1"/>
  <c r="I502"/>
  <c r="E172"/>
  <c r="H172" s="1"/>
  <c r="G172" s="1"/>
  <c r="F172" s="1"/>
  <c r="G422"/>
  <c r="F422" s="1"/>
  <c r="K421"/>
  <c r="D437"/>
  <c r="G566"/>
  <c r="F566" s="1"/>
  <c r="G600"/>
  <c r="E705"/>
  <c r="H726"/>
  <c r="G726" s="1"/>
  <c r="F726" s="1"/>
  <c r="N442"/>
  <c r="M441"/>
  <c r="O544"/>
  <c r="N543"/>
  <c r="J16"/>
  <c r="F203"/>
  <c r="M280"/>
  <c r="M279" s="1"/>
  <c r="O301"/>
  <c r="H315"/>
  <c r="N392"/>
  <c r="O392" s="1"/>
  <c r="O393"/>
  <c r="G405"/>
  <c r="F405" s="1"/>
  <c r="O405"/>
  <c r="J421"/>
  <c r="L421"/>
  <c r="E441"/>
  <c r="I436"/>
  <c r="G457"/>
  <c r="F457" s="1"/>
  <c r="M469"/>
  <c r="N469" s="1"/>
  <c r="O469" s="1"/>
  <c r="H470"/>
  <c r="G470" s="1"/>
  <c r="F470" s="1"/>
  <c r="M483"/>
  <c r="J479"/>
  <c r="G490"/>
  <c r="F490" s="1"/>
  <c r="E490"/>
  <c r="E489" s="1"/>
  <c r="E505"/>
  <c r="M509"/>
  <c r="M543"/>
  <c r="E572"/>
  <c r="J572"/>
  <c r="J548" s="1"/>
  <c r="J542" s="1"/>
  <c r="J530" s="1"/>
  <c r="J529" s="1"/>
  <c r="J528" s="1"/>
  <c r="L572"/>
  <c r="L548" s="1"/>
  <c r="L542" s="1"/>
  <c r="L530" s="1"/>
  <c r="L529" s="1"/>
  <c r="L528" s="1"/>
  <c r="I644"/>
  <c r="I615" s="1"/>
  <c r="J687"/>
  <c r="O727"/>
  <c r="O745"/>
  <c r="O36" i="26"/>
  <c r="J36" s="1"/>
  <c r="C36" s="1"/>
  <c r="O42"/>
  <c r="J42" s="1"/>
  <c r="C42" s="1"/>
  <c r="O43"/>
  <c r="J43" s="1"/>
  <c r="C43" s="1"/>
  <c r="O45"/>
  <c r="J45" s="1"/>
  <c r="C45" s="1"/>
  <c r="O47"/>
  <c r="J47" s="1"/>
  <c r="C47" s="1"/>
  <c r="P60"/>
  <c r="J60" s="1"/>
  <c r="C60" s="1"/>
  <c r="P66"/>
  <c r="J66" s="1"/>
  <c r="C66" s="1"/>
  <c r="P70"/>
  <c r="J75"/>
  <c r="C75" s="1"/>
  <c r="M253" i="75"/>
  <c r="N253" s="1"/>
  <c r="N252" s="1"/>
  <c r="G352"/>
  <c r="F352" s="1"/>
  <c r="O358"/>
  <c r="E374"/>
  <c r="N462"/>
  <c r="O462" s="1"/>
  <c r="I489"/>
  <c r="I479" s="1"/>
  <c r="M572"/>
  <c r="F600"/>
  <c r="E649"/>
  <c r="H649" s="1"/>
  <c r="G649" s="1"/>
  <c r="F649" s="1"/>
  <c r="K657"/>
  <c r="O721"/>
  <c r="O764"/>
  <c r="O46" i="26"/>
  <c r="J46" s="1"/>
  <c r="C46" s="1"/>
  <c r="O48"/>
  <c r="J48" s="1"/>
  <c r="C48" s="1"/>
  <c r="J70"/>
  <c r="C70" s="1"/>
  <c r="L23"/>
  <c r="L92" s="1"/>
  <c r="N15" i="63"/>
  <c r="N9" s="1"/>
  <c r="K15"/>
  <c r="Q15"/>
  <c r="Q9" s="1"/>
  <c r="U41"/>
  <c r="E33"/>
  <c r="T9"/>
  <c r="H9"/>
  <c r="Q33"/>
  <c r="U45"/>
  <c r="K9"/>
  <c r="E10"/>
  <c r="E48"/>
  <c r="E29" i="26"/>
  <c r="H9"/>
  <c r="H8" s="1"/>
  <c r="H92" s="1"/>
  <c r="Q79"/>
  <c r="Q92" s="1"/>
  <c r="C65"/>
  <c r="C33"/>
  <c r="G9"/>
  <c r="G8" s="1"/>
  <c r="G92" s="1"/>
  <c r="I9"/>
  <c r="I8" s="1"/>
  <c r="I92" s="1"/>
  <c r="C10"/>
  <c r="D26"/>
  <c r="C34"/>
  <c r="D31"/>
  <c r="C81"/>
  <c r="J79"/>
  <c r="D29"/>
  <c r="C32"/>
  <c r="J91"/>
  <c r="C91" s="1"/>
  <c r="J23"/>
  <c r="E26"/>
  <c r="E31"/>
  <c r="H20" i="75"/>
  <c r="E19"/>
  <c r="M19"/>
  <c r="N20"/>
  <c r="F55"/>
  <c r="G24"/>
  <c r="F24" s="1"/>
  <c r="E198"/>
  <c r="H199"/>
  <c r="M198"/>
  <c r="N199"/>
  <c r="E232"/>
  <c r="H233"/>
  <c r="O233"/>
  <c r="N232"/>
  <c r="F266"/>
  <c r="G265"/>
  <c r="F265" s="1"/>
  <c r="N290"/>
  <c r="O293"/>
  <c r="F486"/>
  <c r="R444"/>
  <c r="O490"/>
  <c r="E94"/>
  <c r="H95"/>
  <c r="O95"/>
  <c r="N94"/>
  <c r="E135"/>
  <c r="H136"/>
  <c r="O136"/>
  <c r="N135"/>
  <c r="H174"/>
  <c r="G174" s="1"/>
  <c r="F174" s="1"/>
  <c r="E217"/>
  <c r="H218"/>
  <c r="O218"/>
  <c r="N217"/>
  <c r="H237"/>
  <c r="G237" s="1"/>
  <c r="F237" s="1"/>
  <c r="G238"/>
  <c r="F238" s="1"/>
  <c r="F262"/>
  <c r="G257"/>
  <c r="F257" s="1"/>
  <c r="J436"/>
  <c r="J437"/>
  <c r="G536"/>
  <c r="F536" s="1"/>
  <c r="N349"/>
  <c r="N346" s="1"/>
  <c r="M346"/>
  <c r="G359"/>
  <c r="H358"/>
  <c r="G430"/>
  <c r="F430" s="1"/>
  <c r="H421"/>
  <c r="G421" s="1"/>
  <c r="O430"/>
  <c r="N421"/>
  <c r="G448"/>
  <c r="F448" s="1"/>
  <c r="H446"/>
  <c r="E469"/>
  <c r="H469" s="1"/>
  <c r="G469" s="1"/>
  <c r="E464"/>
  <c r="O478"/>
  <c r="N475"/>
  <c r="G500"/>
  <c r="F500" s="1"/>
  <c r="H499"/>
  <c r="G499" s="1"/>
  <c r="N506"/>
  <c r="M505"/>
  <c r="H510"/>
  <c r="E509"/>
  <c r="G533"/>
  <c r="F533" s="1"/>
  <c r="F531"/>
  <c r="N536"/>
  <c r="M535"/>
  <c r="G543"/>
  <c r="F543" s="1"/>
  <c r="O558"/>
  <c r="N549"/>
  <c r="M598"/>
  <c r="N598" s="1"/>
  <c r="O598" s="1"/>
  <c r="M596"/>
  <c r="E621"/>
  <c r="E623"/>
  <c r="H623" s="1"/>
  <c r="G623" s="1"/>
  <c r="F623" s="1"/>
  <c r="M625"/>
  <c r="E675"/>
  <c r="E680"/>
  <c r="H680" s="1"/>
  <c r="G680" s="1"/>
  <c r="G683"/>
  <c r="F683" s="1"/>
  <c r="H681"/>
  <c r="F719"/>
  <c r="R659"/>
  <c r="O366"/>
  <c r="E488"/>
  <c r="H488" s="1"/>
  <c r="G488" s="1"/>
  <c r="E483"/>
  <c r="N483"/>
  <c r="M481"/>
  <c r="O539"/>
  <c r="N538"/>
  <c r="O538" s="1"/>
  <c r="G580"/>
  <c r="F580" s="1"/>
  <c r="H572"/>
  <c r="O580"/>
  <c r="O572"/>
  <c r="F607"/>
  <c r="F606" s="1"/>
  <c r="G606"/>
  <c r="N621"/>
  <c r="M620"/>
  <c r="H626"/>
  <c r="E625"/>
  <c r="N675"/>
  <c r="M673"/>
  <c r="F693"/>
  <c r="R676"/>
  <c r="G706"/>
  <c r="F706" s="1"/>
  <c r="F705" s="1"/>
  <c r="H705"/>
  <c r="O706"/>
  <c r="N705"/>
  <c r="H712"/>
  <c r="E711"/>
  <c r="E23"/>
  <c r="H23" s="1"/>
  <c r="G23" s="1"/>
  <c r="F23" s="1"/>
  <c r="M23"/>
  <c r="N23" s="1"/>
  <c r="O23" s="1"/>
  <c r="E101"/>
  <c r="H101" s="1"/>
  <c r="G101" s="1"/>
  <c r="F101" s="1"/>
  <c r="M101"/>
  <c r="N101" s="1"/>
  <c r="O101" s="1"/>
  <c r="E139"/>
  <c r="H139" s="1"/>
  <c r="G139" s="1"/>
  <c r="F139" s="1"/>
  <c r="M139"/>
  <c r="N139" s="1"/>
  <c r="O139" s="1"/>
  <c r="E202"/>
  <c r="H202" s="1"/>
  <c r="G202" s="1"/>
  <c r="F202" s="1"/>
  <c r="M202"/>
  <c r="N202" s="1"/>
  <c r="O202" s="1"/>
  <c r="E221"/>
  <c r="H221" s="1"/>
  <c r="G221" s="1"/>
  <c r="F221" s="1"/>
  <c r="M221"/>
  <c r="N221" s="1"/>
  <c r="O221" s="1"/>
  <c r="E236"/>
  <c r="H236" s="1"/>
  <c r="G236" s="1"/>
  <c r="F236" s="1"/>
  <c r="M236"/>
  <c r="N236" s="1"/>
  <c r="O236" s="1"/>
  <c r="H442"/>
  <c r="N441"/>
  <c r="H506"/>
  <c r="E541"/>
  <c r="M541"/>
  <c r="N541" s="1"/>
  <c r="O541" s="1"/>
  <c r="E548"/>
  <c r="E542" s="1"/>
  <c r="H595"/>
  <c r="H24"/>
  <c r="N24"/>
  <c r="O24" s="1"/>
  <c r="H65"/>
  <c r="G65" s="1"/>
  <c r="F65" s="1"/>
  <c r="N65"/>
  <c r="M94"/>
  <c r="H102"/>
  <c r="G102" s="1"/>
  <c r="F102" s="1"/>
  <c r="M135"/>
  <c r="H140"/>
  <c r="G140" s="1"/>
  <c r="F140" s="1"/>
  <c r="M172"/>
  <c r="M217"/>
  <c r="M232"/>
  <c r="M252"/>
  <c r="M251" s="1"/>
  <c r="E253"/>
  <c r="H257"/>
  <c r="H265"/>
  <c r="N265"/>
  <c r="H301"/>
  <c r="G301" s="1"/>
  <c r="F301" s="1"/>
  <c r="N314"/>
  <c r="H392"/>
  <c r="E392"/>
  <c r="G401"/>
  <c r="F401" s="1"/>
  <c r="O442"/>
  <c r="E444"/>
  <c r="H444" s="1"/>
  <c r="G444" s="1"/>
  <c r="M444"/>
  <c r="N444" s="1"/>
  <c r="O444" s="1"/>
  <c r="M446"/>
  <c r="M445" s="1"/>
  <c r="O447"/>
  <c r="O446" s="1"/>
  <c r="M462"/>
  <c r="O464"/>
  <c r="E508"/>
  <c r="H508" s="1"/>
  <c r="G508" s="1"/>
  <c r="F508" s="1"/>
  <c r="M508"/>
  <c r="N508" s="1"/>
  <c r="O508" s="1"/>
  <c r="M538"/>
  <c r="I548"/>
  <c r="I542" s="1"/>
  <c r="I530" s="1"/>
  <c r="I529" s="1"/>
  <c r="I528" s="1"/>
  <c r="K548"/>
  <c r="K542" s="1"/>
  <c r="K530" s="1"/>
  <c r="K529" s="1"/>
  <c r="K528" s="1"/>
  <c r="M548"/>
  <c r="E595"/>
  <c r="E598"/>
  <c r="G596"/>
  <c r="F596" s="1"/>
  <c r="E634"/>
  <c r="H634" s="1"/>
  <c r="G634" s="1"/>
  <c r="F634" s="1"/>
  <c r="M649"/>
  <c r="N649" s="1"/>
  <c r="O649" s="1"/>
  <c r="M695"/>
  <c r="N695" s="1"/>
  <c r="O695" s="1"/>
  <c r="H696"/>
  <c r="G696" s="1"/>
  <c r="F696" s="1"/>
  <c r="M705"/>
  <c r="N629"/>
  <c r="M628"/>
  <c r="N647"/>
  <c r="M646"/>
  <c r="F658"/>
  <c r="E695"/>
  <c r="H695" s="1"/>
  <c r="G695" s="1"/>
  <c r="F695" s="1"/>
  <c r="E690"/>
  <c r="N690"/>
  <c r="M688"/>
  <c r="H762"/>
  <c r="G762" s="1"/>
  <c r="F762" s="1"/>
  <c r="M623"/>
  <c r="N623" s="1"/>
  <c r="O623" s="1"/>
  <c r="E628"/>
  <c r="H629"/>
  <c r="E646"/>
  <c r="H647"/>
  <c r="J657"/>
  <c r="M680"/>
  <c r="N680" s="1"/>
  <c r="O680" s="1"/>
  <c r="E710"/>
  <c r="H710" s="1"/>
  <c r="G710" s="1"/>
  <c r="F710" s="1"/>
  <c r="M710"/>
  <c r="N710" s="1"/>
  <c r="O710" s="1"/>
  <c r="C124" i="26" l="1"/>
  <c r="U33" i="63"/>
  <c r="C20" i="17" s="1"/>
  <c r="D20" s="1"/>
  <c r="U11" i="63"/>
  <c r="U10" s="1"/>
  <c r="T62"/>
  <c r="O543" i="75"/>
  <c r="V92" i="26"/>
  <c r="O600" i="75"/>
  <c r="O599" s="1"/>
  <c r="N599"/>
  <c r="C79" i="26"/>
  <c r="C90"/>
  <c r="M479" i="75"/>
  <c r="F421"/>
  <c r="J15"/>
  <c r="M542"/>
  <c r="H535"/>
  <c r="H534" s="1"/>
  <c r="I657"/>
  <c r="G599"/>
  <c r="F599" s="1"/>
  <c r="I15"/>
  <c r="E171"/>
  <c r="E170" s="1"/>
  <c r="M460"/>
  <c r="G392"/>
  <c r="F392" s="1"/>
  <c r="J388"/>
  <c r="P75" i="26"/>
  <c r="O253" i="75"/>
  <c r="G280"/>
  <c r="F280" s="1"/>
  <c r="H279"/>
  <c r="G279" s="1"/>
  <c r="F279" s="1"/>
  <c r="F655"/>
  <c r="G650"/>
  <c r="F650" s="1"/>
  <c r="I388"/>
  <c r="M624"/>
  <c r="G489"/>
  <c r="F489" s="1"/>
  <c r="O280"/>
  <c r="N279"/>
  <c r="O265"/>
  <c r="P67" i="26"/>
  <c r="J67" s="1"/>
  <c r="C67" s="1"/>
  <c r="M704" i="75"/>
  <c r="M703" s="1"/>
  <c r="E503"/>
  <c r="E502" s="1"/>
  <c r="M231"/>
  <c r="M216"/>
  <c r="M134"/>
  <c r="M93"/>
  <c r="M92" s="1"/>
  <c r="M197"/>
  <c r="M16"/>
  <c r="O314"/>
  <c r="P64" i="26"/>
  <c r="J64" s="1"/>
  <c r="C64" s="1"/>
  <c r="O365" i="75"/>
  <c r="P71" i="26"/>
  <c r="J71"/>
  <c r="C71" s="1"/>
  <c r="O421" i="75"/>
  <c r="K14" i="26"/>
  <c r="G315" i="75"/>
  <c r="F315" s="1"/>
  <c r="H314"/>
  <c r="G314" s="1"/>
  <c r="F314" s="1"/>
  <c r="J53" i="26"/>
  <c r="P53"/>
  <c r="U48" i="63"/>
  <c r="U46" s="1"/>
  <c r="C23" i="17" s="1"/>
  <c r="Q62" i="63"/>
  <c r="Q61" s="1"/>
  <c r="Q60"/>
  <c r="H62"/>
  <c r="H61" s="1"/>
  <c r="H60"/>
  <c r="N62"/>
  <c r="N61" s="1"/>
  <c r="N60"/>
  <c r="E15"/>
  <c r="E9" s="1"/>
  <c r="U23"/>
  <c r="U15" s="1"/>
  <c r="U9" s="1"/>
  <c r="K62"/>
  <c r="K61" s="1"/>
  <c r="K60"/>
  <c r="T61"/>
  <c r="T60"/>
  <c r="E9" i="26"/>
  <c r="E8" s="1"/>
  <c r="E92" s="1"/>
  <c r="G647" i="75"/>
  <c r="F647" s="1"/>
  <c r="F646" s="1"/>
  <c r="H646"/>
  <c r="G629"/>
  <c r="F629" s="1"/>
  <c r="H628"/>
  <c r="G628" s="1"/>
  <c r="F628" s="1"/>
  <c r="O690"/>
  <c r="N688"/>
  <c r="M644"/>
  <c r="M645"/>
  <c r="G598"/>
  <c r="F598" s="1"/>
  <c r="H598"/>
  <c r="H594" s="1"/>
  <c r="F444"/>
  <c r="R442"/>
  <c r="S442" s="1"/>
  <c r="G595"/>
  <c r="G506"/>
  <c r="F506" s="1"/>
  <c r="H505"/>
  <c r="N440"/>
  <c r="O441"/>
  <c r="G712"/>
  <c r="F712" s="1"/>
  <c r="F711" s="1"/>
  <c r="H711"/>
  <c r="G711" s="1"/>
  <c r="O675"/>
  <c r="N673"/>
  <c r="H625"/>
  <c r="G626"/>
  <c r="F626" s="1"/>
  <c r="O621"/>
  <c r="N620"/>
  <c r="O483"/>
  <c r="N481"/>
  <c r="S444"/>
  <c r="F488"/>
  <c r="E673"/>
  <c r="H675"/>
  <c r="O626"/>
  <c r="N625"/>
  <c r="E620"/>
  <c r="E619" s="1"/>
  <c r="H621"/>
  <c r="O536"/>
  <c r="N535"/>
  <c r="N534" s="1"/>
  <c r="G510"/>
  <c r="F510" s="1"/>
  <c r="H509"/>
  <c r="G509" s="1"/>
  <c r="F509" s="1"/>
  <c r="O506"/>
  <c r="N505"/>
  <c r="F469"/>
  <c r="F359"/>
  <c r="G358"/>
  <c r="F358" s="1"/>
  <c r="O349"/>
  <c r="O290"/>
  <c r="N289"/>
  <c r="G20"/>
  <c r="F20" s="1"/>
  <c r="H19"/>
  <c r="E644"/>
  <c r="E645"/>
  <c r="H690"/>
  <c r="E688"/>
  <c r="E687" s="1"/>
  <c r="N646"/>
  <c r="O647"/>
  <c r="O629"/>
  <c r="N628"/>
  <c r="O628" s="1"/>
  <c r="E252"/>
  <c r="E251" s="1"/>
  <c r="H253"/>
  <c r="N172"/>
  <c r="M171"/>
  <c r="M170" s="1"/>
  <c r="H541"/>
  <c r="G541" s="1"/>
  <c r="F541" s="1"/>
  <c r="E530"/>
  <c r="E529" s="1"/>
  <c r="E528" s="1"/>
  <c r="G442"/>
  <c r="F442" s="1"/>
  <c r="H441"/>
  <c r="N704"/>
  <c r="O705"/>
  <c r="G705"/>
  <c r="H704"/>
  <c r="G572"/>
  <c r="F572" s="1"/>
  <c r="H548"/>
  <c r="H483"/>
  <c r="E481"/>
  <c r="E479" s="1"/>
  <c r="F680"/>
  <c r="R674"/>
  <c r="N596"/>
  <c r="M595"/>
  <c r="M594" s="1"/>
  <c r="N548"/>
  <c r="N542" s="1"/>
  <c r="O549"/>
  <c r="R499"/>
  <c r="F499"/>
  <c r="N470"/>
  <c r="O475"/>
  <c r="E462"/>
  <c r="E460" s="1"/>
  <c r="H464"/>
  <c r="H445"/>
  <c r="G445" s="1"/>
  <c r="F445" s="1"/>
  <c r="G446"/>
  <c r="F446" s="1"/>
  <c r="O252"/>
  <c r="N251"/>
  <c r="O217"/>
  <c r="N216"/>
  <c r="G218"/>
  <c r="F218" s="1"/>
  <c r="F217" s="1"/>
  <c r="F216" s="1"/>
  <c r="H217"/>
  <c r="O135"/>
  <c r="N134"/>
  <c r="G136"/>
  <c r="F136" s="1"/>
  <c r="F135" s="1"/>
  <c r="F134" s="1"/>
  <c r="H135"/>
  <c r="O94"/>
  <c r="N93"/>
  <c r="G95"/>
  <c r="F95" s="1"/>
  <c r="H94"/>
  <c r="O232"/>
  <c r="N231"/>
  <c r="G233"/>
  <c r="F233" s="1"/>
  <c r="H232"/>
  <c r="O199"/>
  <c r="N198"/>
  <c r="G199"/>
  <c r="F199" s="1"/>
  <c r="F198" s="1"/>
  <c r="F197" s="1"/>
  <c r="H198"/>
  <c r="O20"/>
  <c r="N19"/>
  <c r="E704"/>
  <c r="E703" s="1"/>
  <c r="E440"/>
  <c r="F704"/>
  <c r="E216"/>
  <c r="H171"/>
  <c r="E134"/>
  <c r="E93"/>
  <c r="E92" s="1"/>
  <c r="E231"/>
  <c r="E197"/>
  <c r="G681"/>
  <c r="M687"/>
  <c r="E594"/>
  <c r="M672"/>
  <c r="E624"/>
  <c r="M619"/>
  <c r="M534"/>
  <c r="M530" s="1"/>
  <c r="M504"/>
  <c r="M503" s="1"/>
  <c r="M502" s="1"/>
  <c r="M440"/>
  <c r="E504"/>
  <c r="E16"/>
  <c r="C22" i="17" l="1"/>
  <c r="G535" i="75"/>
  <c r="F535" s="1"/>
  <c r="J781"/>
  <c r="M529"/>
  <c r="M528" s="1"/>
  <c r="M657"/>
  <c r="I781"/>
  <c r="F703"/>
  <c r="O279"/>
  <c r="P62" i="26"/>
  <c r="J62" s="1"/>
  <c r="C62" s="1"/>
  <c r="N624" i="75"/>
  <c r="O231"/>
  <c r="P59" i="26"/>
  <c r="J59" s="1"/>
  <c r="C59" s="1"/>
  <c r="O134" i="75"/>
  <c r="P55" i="26"/>
  <c r="J55" s="1"/>
  <c r="C55" s="1"/>
  <c r="O216" i="75"/>
  <c r="P58" i="26"/>
  <c r="J58" s="1"/>
  <c r="C58" s="1"/>
  <c r="O251" i="75"/>
  <c r="P61" i="26"/>
  <c r="J61" s="1"/>
  <c r="C61" s="1"/>
  <c r="O289" i="75"/>
  <c r="P63" i="26"/>
  <c r="J63" s="1"/>
  <c r="C63" s="1"/>
  <c r="O346" i="75"/>
  <c r="P68" i="26"/>
  <c r="J68" s="1"/>
  <c r="C68" s="1"/>
  <c r="M618" i="75"/>
  <c r="M616" s="1"/>
  <c r="M615" s="1"/>
  <c r="M15"/>
  <c r="J14" i="26"/>
  <c r="E62" i="63"/>
  <c r="E60"/>
  <c r="H66"/>
  <c r="H69" s="1"/>
  <c r="Q66"/>
  <c r="Q69" s="1"/>
  <c r="W15" i="30" s="1"/>
  <c r="U60" i="63"/>
  <c r="T66"/>
  <c r="K66"/>
  <c r="K69" s="1"/>
  <c r="W13" i="30" s="1"/>
  <c r="N66" i="63"/>
  <c r="M437" i="75"/>
  <c r="M436"/>
  <c r="M388" s="1"/>
  <c r="F681"/>
  <c r="R721"/>
  <c r="R658"/>
  <c r="G171"/>
  <c r="F171" s="1"/>
  <c r="H170"/>
  <c r="G170" s="1"/>
  <c r="F170" s="1"/>
  <c r="E437"/>
  <c r="E436"/>
  <c r="E388" s="1"/>
  <c r="O19"/>
  <c r="N16"/>
  <c r="G198"/>
  <c r="H197"/>
  <c r="G197" s="1"/>
  <c r="O198"/>
  <c r="N197"/>
  <c r="G232"/>
  <c r="F232" s="1"/>
  <c r="H231"/>
  <c r="G231" s="1"/>
  <c r="F231" s="1"/>
  <c r="G94"/>
  <c r="F94" s="1"/>
  <c r="H93"/>
  <c r="O93"/>
  <c r="N92"/>
  <c r="G135"/>
  <c r="H134"/>
  <c r="G134" s="1"/>
  <c r="G217"/>
  <c r="H216"/>
  <c r="G216" s="1"/>
  <c r="G464"/>
  <c r="H462"/>
  <c r="G548"/>
  <c r="F548" s="1"/>
  <c r="H542"/>
  <c r="G542" s="1"/>
  <c r="G704"/>
  <c r="H703"/>
  <c r="G703" s="1"/>
  <c r="G441"/>
  <c r="H440"/>
  <c r="G253"/>
  <c r="F253" s="1"/>
  <c r="F252" s="1"/>
  <c r="F251" s="1"/>
  <c r="H252"/>
  <c r="G19"/>
  <c r="F19" s="1"/>
  <c r="F16" s="1"/>
  <c r="H16"/>
  <c r="O505"/>
  <c r="N504"/>
  <c r="O535"/>
  <c r="G621"/>
  <c r="H620"/>
  <c r="H619" s="1"/>
  <c r="O625"/>
  <c r="O624" s="1"/>
  <c r="G675"/>
  <c r="F675" s="1"/>
  <c r="F673" s="1"/>
  <c r="H673"/>
  <c r="O481"/>
  <c r="N479"/>
  <c r="O620"/>
  <c r="N619"/>
  <c r="O673"/>
  <c r="N672"/>
  <c r="O37" i="26" s="1"/>
  <c r="G505" i="75"/>
  <c r="F505" s="1"/>
  <c r="H504"/>
  <c r="G504" s="1"/>
  <c r="F504" s="1"/>
  <c r="H503"/>
  <c r="O688"/>
  <c r="N687"/>
  <c r="G646"/>
  <c r="H645"/>
  <c r="G645" s="1"/>
  <c r="H644"/>
  <c r="G644" s="1"/>
  <c r="G534"/>
  <c r="F534" s="1"/>
  <c r="O470"/>
  <c r="N460"/>
  <c r="O548"/>
  <c r="O542"/>
  <c r="O596"/>
  <c r="N595"/>
  <c r="G483"/>
  <c r="F483" s="1"/>
  <c r="F481" s="1"/>
  <c r="H481"/>
  <c r="N703"/>
  <c r="O704"/>
  <c r="O172"/>
  <c r="N171"/>
  <c r="O646"/>
  <c r="N645"/>
  <c r="O645" s="1"/>
  <c r="N644"/>
  <c r="G690"/>
  <c r="F690" s="1"/>
  <c r="H688"/>
  <c r="E672"/>
  <c r="E657" s="1"/>
  <c r="R673"/>
  <c r="H624"/>
  <c r="G625"/>
  <c r="N437"/>
  <c r="O437" s="1"/>
  <c r="O440"/>
  <c r="N436"/>
  <c r="F595"/>
  <c r="F594" s="1"/>
  <c r="G594"/>
  <c r="F645"/>
  <c r="F644"/>
  <c r="E15"/>
  <c r="E618"/>
  <c r="E616" s="1"/>
  <c r="E615" s="1"/>
  <c r="C21" i="17" l="1"/>
  <c r="D22"/>
  <c r="D21" s="1"/>
  <c r="M781" i="75"/>
  <c r="N69" i="63"/>
  <c r="W14" i="30" s="1"/>
  <c r="T69" i="63"/>
  <c r="W16" i="30" s="1"/>
  <c r="Q70" i="63"/>
  <c r="K70"/>
  <c r="N530" i="75"/>
  <c r="N529" s="1"/>
  <c r="W12" i="30"/>
  <c r="H70" i="63"/>
  <c r="K15" i="26"/>
  <c r="N388" i="75"/>
  <c r="O460"/>
  <c r="K16" i="26"/>
  <c r="J16" s="1"/>
  <c r="C16" s="1"/>
  <c r="C129" s="1"/>
  <c r="J37"/>
  <c r="O479" i="75"/>
  <c r="K17" i="26"/>
  <c r="J17" s="1"/>
  <c r="C17" s="1"/>
  <c r="O92" i="75"/>
  <c r="J54" i="26"/>
  <c r="C54" s="1"/>
  <c r="P54"/>
  <c r="O644" i="75"/>
  <c r="S77" i="26"/>
  <c r="O703" i="75"/>
  <c r="O39" i="26"/>
  <c r="J39" s="1"/>
  <c r="C39" s="1"/>
  <c r="O687" i="75"/>
  <c r="O38" i="26"/>
  <c r="J38" s="1"/>
  <c r="C38" s="1"/>
  <c r="H530" i="75"/>
  <c r="H529" s="1"/>
  <c r="F672"/>
  <c r="O197"/>
  <c r="P57" i="26"/>
  <c r="J57" s="1"/>
  <c r="C57" s="1"/>
  <c r="P52"/>
  <c r="J52"/>
  <c r="C14"/>
  <c r="C127" s="1"/>
  <c r="U62" i="63"/>
  <c r="U61" s="1"/>
  <c r="E61"/>
  <c r="F625" i="75"/>
  <c r="G624"/>
  <c r="F624" s="1"/>
  <c r="G688"/>
  <c r="F688" s="1"/>
  <c r="H687"/>
  <c r="G687" s="1"/>
  <c r="F687" s="1"/>
  <c r="H502"/>
  <c r="G502" s="1"/>
  <c r="G503"/>
  <c r="F503" s="1"/>
  <c r="G620"/>
  <c r="F621"/>
  <c r="R441"/>
  <c r="F441"/>
  <c r="F464"/>
  <c r="F462" s="1"/>
  <c r="F460" s="1"/>
  <c r="R443"/>
  <c r="S443" s="1"/>
  <c r="S445" s="1"/>
  <c r="O436"/>
  <c r="O171"/>
  <c r="N170"/>
  <c r="H479"/>
  <c r="G479" s="1"/>
  <c r="F479" s="1"/>
  <c r="G481"/>
  <c r="O595"/>
  <c r="N594"/>
  <c r="O672"/>
  <c r="N657"/>
  <c r="O657" s="1"/>
  <c r="N618"/>
  <c r="O619"/>
  <c r="G673"/>
  <c r="R675" s="1"/>
  <c r="H672"/>
  <c r="O534"/>
  <c r="N503"/>
  <c r="O504"/>
  <c r="G16"/>
  <c r="G252"/>
  <c r="H251"/>
  <c r="G251" s="1"/>
  <c r="G440"/>
  <c r="F440" s="1"/>
  <c r="H437"/>
  <c r="G437" s="1"/>
  <c r="F437" s="1"/>
  <c r="H436"/>
  <c r="F542"/>
  <c r="R542"/>
  <c r="H460"/>
  <c r="G460" s="1"/>
  <c r="G462"/>
  <c r="G93"/>
  <c r="F93" s="1"/>
  <c r="H92"/>
  <c r="G92" s="1"/>
  <c r="F92" s="1"/>
  <c r="F15" s="1"/>
  <c r="O16"/>
  <c r="E781"/>
  <c r="H618"/>
  <c r="H616" s="1"/>
  <c r="H615" s="1"/>
  <c r="V15" i="30" l="1"/>
  <c r="T70" i="63"/>
  <c r="V13" i="30"/>
  <c r="N70" i="63"/>
  <c r="N528" i="75"/>
  <c r="N30" i="26" s="1"/>
  <c r="J30" s="1"/>
  <c r="N15" i="75"/>
  <c r="G530"/>
  <c r="F530" s="1"/>
  <c r="F529" s="1"/>
  <c r="F528" s="1"/>
  <c r="V12" i="30"/>
  <c r="C16" i="17"/>
  <c r="M27" i="26"/>
  <c r="M26" s="1"/>
  <c r="M92" s="1"/>
  <c r="N502" i="75"/>
  <c r="O388"/>
  <c r="O31" i="26"/>
  <c r="O92" s="1"/>
  <c r="J27"/>
  <c r="O170" i="75"/>
  <c r="P56" i="26"/>
  <c r="J56" s="1"/>
  <c r="C56" s="1"/>
  <c r="C52"/>
  <c r="J77"/>
  <c r="C37"/>
  <c r="C31" s="1"/>
  <c r="J31"/>
  <c r="J15"/>
  <c r="K8"/>
  <c r="K92" s="1"/>
  <c r="E66" i="63"/>
  <c r="E69" s="1"/>
  <c r="G436" i="75"/>
  <c r="H388"/>
  <c r="O503"/>
  <c r="O502" s="1"/>
  <c r="O618"/>
  <c r="N616"/>
  <c r="S78" i="26" s="1"/>
  <c r="J78" s="1"/>
  <c r="C78" s="1"/>
  <c r="F620" i="75"/>
  <c r="G619"/>
  <c r="F502"/>
  <c r="R502"/>
  <c r="H528"/>
  <c r="G528" s="1"/>
  <c r="G529"/>
  <c r="O530"/>
  <c r="G672"/>
  <c r="G657" s="1"/>
  <c r="F657" s="1"/>
  <c r="H657"/>
  <c r="O594"/>
  <c r="G15"/>
  <c r="H15"/>
  <c r="C15" i="17" l="1"/>
  <c r="D16"/>
  <c r="W11" i="30"/>
  <c r="U69" i="63"/>
  <c r="C26" i="17" s="1"/>
  <c r="V14" i="30"/>
  <c r="E70" i="63"/>
  <c r="V16" i="30"/>
  <c r="O15" i="75"/>
  <c r="P51" i="26"/>
  <c r="P92" s="1"/>
  <c r="J51"/>
  <c r="C15"/>
  <c r="C128" s="1"/>
  <c r="C121" s="1"/>
  <c r="C205" s="1"/>
  <c r="J8"/>
  <c r="C77"/>
  <c r="J76"/>
  <c r="C76" s="1"/>
  <c r="C27"/>
  <c r="J26"/>
  <c r="S76"/>
  <c r="S92" s="1"/>
  <c r="U66" i="63"/>
  <c r="R15" i="75"/>
  <c r="C30" i="26"/>
  <c r="O529" i="75"/>
  <c r="O528" s="1"/>
  <c r="F436"/>
  <c r="F388" s="1"/>
  <c r="G388"/>
  <c r="R388" s="1"/>
  <c r="F619"/>
  <c r="G618"/>
  <c r="O616"/>
  <c r="N615"/>
  <c r="O615" s="1"/>
  <c r="H781"/>
  <c r="R801" s="1"/>
  <c r="D15" i="17" l="1"/>
  <c r="D14" s="1"/>
  <c r="U70" i="63"/>
  <c r="O781" i="75"/>
  <c r="V11" i="30"/>
  <c r="K15" i="29"/>
  <c r="N781" i="75"/>
  <c r="R781" s="1"/>
  <c r="C26" i="26"/>
  <c r="C24" i="17"/>
  <c r="C14" s="1"/>
  <c r="R49" i="26"/>
  <c r="R92" s="1"/>
  <c r="F618" i="75"/>
  <c r="G616"/>
  <c r="F14" i="17" l="1"/>
  <c r="F16"/>
  <c r="F18" s="1"/>
  <c r="C9"/>
  <c r="C33" i="1" s="1"/>
  <c r="N29" i="26"/>
  <c r="N92" s="1"/>
  <c r="F616" i="75"/>
  <c r="F615" s="1"/>
  <c r="G615"/>
  <c r="G781" s="1"/>
  <c r="F781" s="1"/>
  <c r="D9" i="17" l="1"/>
  <c r="F8" s="1"/>
  <c r="J29" i="26"/>
  <c r="J92" s="1"/>
  <c r="C29"/>
  <c r="B55" i="74"/>
  <c r="C58" l="1"/>
  <c r="D58"/>
  <c r="E58"/>
  <c r="F58"/>
  <c r="G58"/>
  <c r="H58"/>
  <c r="L58"/>
  <c r="I58"/>
  <c r="J59"/>
  <c r="J58" s="1"/>
  <c r="B33"/>
  <c r="B20"/>
  <c r="D20" i="1" l="1"/>
  <c r="D19" s="1"/>
  <c r="G12" i="2"/>
  <c r="F29" l="1"/>
  <c r="F28"/>
  <c r="F38"/>
  <c r="F37"/>
  <c r="F36"/>
  <c r="G33"/>
  <c r="L33" s="1"/>
  <c r="F25"/>
  <c r="F24"/>
  <c r="F18"/>
  <c r="F22"/>
  <c r="F19"/>
  <c r="K36" l="1"/>
  <c r="F32"/>
  <c r="G29"/>
  <c r="L29" s="1"/>
  <c r="K29"/>
  <c r="G28"/>
  <c r="L28" s="1"/>
  <c r="K28"/>
  <c r="G22"/>
  <c r="L22" s="1"/>
  <c r="K22"/>
  <c r="G19"/>
  <c r="L19" s="1"/>
  <c r="K19"/>
  <c r="G38"/>
  <c r="L38" s="1"/>
  <c r="K38"/>
  <c r="G18"/>
  <c r="L18" s="1"/>
  <c r="K18"/>
  <c r="G25"/>
  <c r="L25" s="1"/>
  <c r="K25"/>
  <c r="G24"/>
  <c r="L24" s="1"/>
  <c r="K24"/>
  <c r="G37"/>
  <c r="L37" s="1"/>
  <c r="K37"/>
  <c r="G36"/>
  <c r="L36" s="1"/>
  <c r="F21"/>
  <c r="G21" l="1"/>
  <c r="L21" s="1"/>
  <c r="K21"/>
  <c r="G32"/>
  <c r="L32" s="1"/>
  <c r="K32"/>
  <c r="M58" i="74" l="1"/>
  <c r="M52"/>
  <c r="M49"/>
  <c r="M48" s="1"/>
  <c r="M45"/>
  <c r="M38"/>
  <c r="M31"/>
  <c r="M25"/>
  <c r="M22"/>
  <c r="M20"/>
  <c r="M19" s="1"/>
  <c r="M16"/>
  <c r="M10"/>
  <c r="B10"/>
  <c r="F31" i="2"/>
  <c r="B31" i="74"/>
  <c r="G31" i="2" l="1"/>
  <c r="L31" s="1"/>
  <c r="K31"/>
  <c r="F23"/>
  <c r="F14"/>
  <c r="K14" s="1"/>
  <c r="M37" i="74"/>
  <c r="M15"/>
  <c r="M13" s="1"/>
  <c r="G23" i="2" l="1"/>
  <c r="L23" s="1"/>
  <c r="K23"/>
  <c r="G14"/>
  <c r="L14" s="1"/>
  <c r="F13"/>
  <c r="M9" i="74"/>
  <c r="O38" i="2"/>
  <c r="O40" s="1"/>
  <c r="O25"/>
  <c r="G13" l="1"/>
  <c r="L13" s="1"/>
  <c r="K13"/>
  <c r="F11"/>
  <c r="K11" s="1"/>
  <c r="G11" l="1"/>
  <c r="L11" s="1"/>
  <c r="P32"/>
  <c r="W15" i="60" l="1"/>
  <c r="W11"/>
  <c r="W10"/>
  <c r="AP10" i="70"/>
  <c r="AP11"/>
  <c r="AP12"/>
  <c r="AP13"/>
  <c r="AP14"/>
  <c r="AP15"/>
  <c r="AP16"/>
  <c r="AP18"/>
  <c r="AP19"/>
  <c r="AP20"/>
  <c r="AP21"/>
  <c r="AP22"/>
  <c r="AP23"/>
  <c r="AP24"/>
  <c r="AP25"/>
  <c r="AP28"/>
  <c r="AR28" s="1"/>
  <c r="AP29"/>
  <c r="AP32"/>
  <c r="AP33"/>
  <c r="AP34"/>
  <c r="AP35"/>
  <c r="AP36"/>
  <c r="AP37"/>
  <c r="AP9"/>
  <c r="AO10"/>
  <c r="AO11"/>
  <c r="AO12"/>
  <c r="AO13"/>
  <c r="AO14"/>
  <c r="AO15"/>
  <c r="AO16"/>
  <c r="AO17"/>
  <c r="AO18"/>
  <c r="AO19"/>
  <c r="AO21"/>
  <c r="AO22"/>
  <c r="AO23"/>
  <c r="AO24"/>
  <c r="AO25"/>
  <c r="AO26"/>
  <c r="AO27"/>
  <c r="AO28"/>
  <c r="AO29"/>
  <c r="AO30"/>
  <c r="AO31"/>
  <c r="AO32"/>
  <c r="AO34"/>
  <c r="AO35"/>
  <c r="AO36"/>
  <c r="AO37"/>
  <c r="AO9"/>
  <c r="AM11"/>
  <c r="AM12"/>
  <c r="AM13"/>
  <c r="AM15"/>
  <c r="AM16"/>
  <c r="AM17"/>
  <c r="AM18"/>
  <c r="AM19"/>
  <c r="AM20"/>
  <c r="AM21"/>
  <c r="AM23"/>
  <c r="AM24"/>
  <c r="AM27"/>
  <c r="AM28"/>
  <c r="AM29"/>
  <c r="AM31"/>
  <c r="AM32"/>
  <c r="AM34"/>
  <c r="AM35"/>
  <c r="AM36"/>
  <c r="AM37"/>
  <c r="AK33"/>
  <c r="AL32"/>
  <c r="AK32"/>
  <c r="AK31"/>
  <c r="AL29"/>
  <c r="AK29"/>
  <c r="AL28"/>
  <c r="AK28"/>
  <c r="AK27"/>
  <c r="AL24"/>
  <c r="AK24"/>
  <c r="AK23"/>
  <c r="AK20"/>
  <c r="AK17"/>
  <c r="AL16"/>
  <c r="AK16"/>
  <c r="AL15"/>
  <c r="AK15"/>
  <c r="AL13"/>
  <c r="AK13"/>
  <c r="AK12"/>
  <c r="AL11"/>
  <c r="AK11"/>
  <c r="AF32"/>
  <c r="AE32"/>
  <c r="AE31"/>
  <c r="AF29"/>
  <c r="AE29"/>
  <c r="AF28"/>
  <c r="AE28"/>
  <c r="AE27"/>
  <c r="AF24"/>
  <c r="AE24"/>
  <c r="AE23"/>
  <c r="AE21"/>
  <c r="AE20"/>
  <c r="AE17"/>
  <c r="AF16"/>
  <c r="AE16"/>
  <c r="AE15"/>
  <c r="AF13"/>
  <c r="AE13"/>
  <c r="AE12"/>
  <c r="AF11"/>
  <c r="AE11"/>
  <c r="Y33"/>
  <c r="Z32"/>
  <c r="Y32"/>
  <c r="Y31"/>
  <c r="Z29"/>
  <c r="Y29"/>
  <c r="Z28"/>
  <c r="Y28"/>
  <c r="Y27"/>
  <c r="Z24"/>
  <c r="Y24"/>
  <c r="Y23"/>
  <c r="Y21"/>
  <c r="Y20"/>
  <c r="Y17"/>
  <c r="Z16"/>
  <c r="Y16"/>
  <c r="Z15"/>
  <c r="Y15"/>
  <c r="Z13"/>
  <c r="Y13"/>
  <c r="Y12"/>
  <c r="Z11"/>
  <c r="Y11"/>
  <c r="T32"/>
  <c r="S32"/>
  <c r="S31"/>
  <c r="T29"/>
  <c r="S29"/>
  <c r="T28"/>
  <c r="S28"/>
  <c r="S27"/>
  <c r="T24"/>
  <c r="S24"/>
  <c r="S23"/>
  <c r="S21"/>
  <c r="S20"/>
  <c r="T17"/>
  <c r="S17"/>
  <c r="T16"/>
  <c r="S16"/>
  <c r="S15"/>
  <c r="T13"/>
  <c r="S13"/>
  <c r="S12"/>
  <c r="T11"/>
  <c r="S11"/>
  <c r="M11"/>
  <c r="N11"/>
  <c r="M12"/>
  <c r="M13"/>
  <c r="M15"/>
  <c r="M16"/>
  <c r="N16"/>
  <c r="M17"/>
  <c r="M20"/>
  <c r="M21"/>
  <c r="M23"/>
  <c r="M24"/>
  <c r="N24"/>
  <c r="M27"/>
  <c r="M28"/>
  <c r="N28"/>
  <c r="M29"/>
  <c r="N29"/>
  <c r="M31"/>
  <c r="M32"/>
  <c r="N32"/>
  <c r="M33"/>
  <c r="L38"/>
  <c r="G11"/>
  <c r="H11"/>
  <c r="G12"/>
  <c r="G13"/>
  <c r="G15"/>
  <c r="G16"/>
  <c r="H16"/>
  <c r="G17"/>
  <c r="G19"/>
  <c r="G20"/>
  <c r="G21"/>
  <c r="G23"/>
  <c r="G24"/>
  <c r="H24"/>
  <c r="G27"/>
  <c r="G28"/>
  <c r="H28"/>
  <c r="G29"/>
  <c r="H29"/>
  <c r="G31"/>
  <c r="G32"/>
  <c r="H32"/>
  <c r="G33"/>
  <c r="AI38"/>
  <c r="AJ38"/>
  <c r="AC38"/>
  <c r="AD38"/>
  <c r="W38"/>
  <c r="X38"/>
  <c r="Q33"/>
  <c r="AO33" s="1"/>
  <c r="R38"/>
  <c r="K38"/>
  <c r="F31"/>
  <c r="F30" s="1"/>
  <c r="AP30" s="1"/>
  <c r="F27"/>
  <c r="F26" s="1"/>
  <c r="F17"/>
  <c r="AP17" s="1"/>
  <c r="E38"/>
  <c r="C22"/>
  <c r="G22" s="1"/>
  <c r="D23"/>
  <c r="H23" s="1"/>
  <c r="AN37"/>
  <c r="AN36"/>
  <c r="AN35"/>
  <c r="AN34"/>
  <c r="AH33"/>
  <c r="AL33" s="1"/>
  <c r="AA33"/>
  <c r="AB33" s="1"/>
  <c r="AF33" s="1"/>
  <c r="V33"/>
  <c r="Z33" s="1"/>
  <c r="O33"/>
  <c r="P33" s="1"/>
  <c r="T33" s="1"/>
  <c r="J33"/>
  <c r="N33" s="1"/>
  <c r="D33"/>
  <c r="H33" s="1"/>
  <c r="AN32"/>
  <c r="AH31"/>
  <c r="AL31" s="1"/>
  <c r="AB31"/>
  <c r="AB30" s="1"/>
  <c r="AF30" s="1"/>
  <c r="V31"/>
  <c r="V30" s="1"/>
  <c r="Z30" s="1"/>
  <c r="P31"/>
  <c r="P30" s="1"/>
  <c r="T30" s="1"/>
  <c r="J31"/>
  <c r="J30" s="1"/>
  <c r="N30" s="1"/>
  <c r="D31"/>
  <c r="AH30"/>
  <c r="AL30" s="1"/>
  <c r="AG30"/>
  <c r="AK30" s="1"/>
  <c r="AA30"/>
  <c r="AE30" s="1"/>
  <c r="U30"/>
  <c r="Y30" s="1"/>
  <c r="O30"/>
  <c r="S30" s="1"/>
  <c r="I30"/>
  <c r="M30" s="1"/>
  <c r="C30"/>
  <c r="G30" s="1"/>
  <c r="AN29"/>
  <c r="AH27"/>
  <c r="AH26" s="1"/>
  <c r="AL26" s="1"/>
  <c r="AB27"/>
  <c r="AB26" s="1"/>
  <c r="AF26" s="1"/>
  <c r="V27"/>
  <c r="V26" s="1"/>
  <c r="Z26" s="1"/>
  <c r="P27"/>
  <c r="T27" s="1"/>
  <c r="J27"/>
  <c r="J26" s="1"/>
  <c r="N26" s="1"/>
  <c r="D27"/>
  <c r="D26" s="1"/>
  <c r="AG26"/>
  <c r="AK26" s="1"/>
  <c r="AA26"/>
  <c r="AE26" s="1"/>
  <c r="U26"/>
  <c r="Y26" s="1"/>
  <c r="P26"/>
  <c r="T26" s="1"/>
  <c r="O26"/>
  <c r="I26"/>
  <c r="M26" s="1"/>
  <c r="C26"/>
  <c r="C25" s="1"/>
  <c r="G25" s="1"/>
  <c r="AN24"/>
  <c r="AH23"/>
  <c r="AH22" s="1"/>
  <c r="AL22" s="1"/>
  <c r="AB23"/>
  <c r="AB22" s="1"/>
  <c r="AF22" s="1"/>
  <c r="V23"/>
  <c r="Z23" s="1"/>
  <c r="P23"/>
  <c r="P22" s="1"/>
  <c r="T22" s="1"/>
  <c r="J23"/>
  <c r="J22" s="1"/>
  <c r="N22" s="1"/>
  <c r="AG22"/>
  <c r="AK22" s="1"/>
  <c r="AA22"/>
  <c r="AE22" s="1"/>
  <c r="U22"/>
  <c r="Y22" s="1"/>
  <c r="O22"/>
  <c r="S22" s="1"/>
  <c r="I22"/>
  <c r="M22" s="1"/>
  <c r="AN21"/>
  <c r="AN20"/>
  <c r="AH19"/>
  <c r="AN19" s="1"/>
  <c r="AH17"/>
  <c r="AL17" s="1"/>
  <c r="AB17"/>
  <c r="AF17" s="1"/>
  <c r="V17"/>
  <c r="Z17" s="1"/>
  <c r="J17"/>
  <c r="N17" s="1"/>
  <c r="D17"/>
  <c r="AN16"/>
  <c r="AB15"/>
  <c r="AF15" s="1"/>
  <c r="P15"/>
  <c r="T15" s="1"/>
  <c r="J15"/>
  <c r="N15" s="1"/>
  <c r="D15"/>
  <c r="H15" s="1"/>
  <c r="AH14"/>
  <c r="AL14" s="1"/>
  <c r="AG14"/>
  <c r="AK14" s="1"/>
  <c r="AA14"/>
  <c r="AE14" s="1"/>
  <c r="V14"/>
  <c r="Z14" s="1"/>
  <c r="U14"/>
  <c r="Y14" s="1"/>
  <c r="O14"/>
  <c r="S14" s="1"/>
  <c r="I14"/>
  <c r="M14" s="1"/>
  <c r="C14"/>
  <c r="G14" s="1"/>
  <c r="J13"/>
  <c r="N13" s="1"/>
  <c r="D13"/>
  <c r="H13" s="1"/>
  <c r="AH12"/>
  <c r="AH10" s="1"/>
  <c r="AB12"/>
  <c r="AF12" s="1"/>
  <c r="V12"/>
  <c r="V10" s="1"/>
  <c r="V9" s="1"/>
  <c r="Z9" s="1"/>
  <c r="P12"/>
  <c r="T12" s="1"/>
  <c r="J12"/>
  <c r="J10" s="1"/>
  <c r="D12"/>
  <c r="H12" s="1"/>
  <c r="AN11"/>
  <c r="AG10"/>
  <c r="AA10"/>
  <c r="U10"/>
  <c r="Y10" s="1"/>
  <c r="P10"/>
  <c r="T10" s="1"/>
  <c r="O10"/>
  <c r="S10" s="1"/>
  <c r="I10"/>
  <c r="D10"/>
  <c r="H10" s="1"/>
  <c r="C10"/>
  <c r="C9" s="1"/>
  <c r="G9" s="1"/>
  <c r="Y62" i="74"/>
  <c r="X62"/>
  <c r="W62"/>
  <c r="L62"/>
  <c r="Z60"/>
  <c r="V60"/>
  <c r="Y60" s="1"/>
  <c r="Z59"/>
  <c r="V59"/>
  <c r="V58" s="1"/>
  <c r="T59"/>
  <c r="K59"/>
  <c r="K58" s="1"/>
  <c r="Z58"/>
  <c r="T58"/>
  <c r="Z57"/>
  <c r="V57"/>
  <c r="V55" s="1"/>
  <c r="K57"/>
  <c r="Z56"/>
  <c r="Y56"/>
  <c r="Z55"/>
  <c r="Z54"/>
  <c r="Y54"/>
  <c r="Z53"/>
  <c r="Y53"/>
  <c r="Z52"/>
  <c r="Y52"/>
  <c r="B52"/>
  <c r="Z51"/>
  <c r="V51"/>
  <c r="U51"/>
  <c r="U49" s="1"/>
  <c r="U48" s="1"/>
  <c r="K51"/>
  <c r="J51"/>
  <c r="J49" s="1"/>
  <c r="J48" s="1"/>
  <c r="X50"/>
  <c r="X49" s="1"/>
  <c r="X48" s="1"/>
  <c r="W50"/>
  <c r="W49" s="1"/>
  <c r="W48" s="1"/>
  <c r="V50"/>
  <c r="B49"/>
  <c r="B48" s="1"/>
  <c r="Y47"/>
  <c r="X47"/>
  <c r="X45" s="1"/>
  <c r="W47"/>
  <c r="W45" s="1"/>
  <c r="L47"/>
  <c r="Z46"/>
  <c r="Y46"/>
  <c r="Y45"/>
  <c r="Z44"/>
  <c r="V44"/>
  <c r="K44"/>
  <c r="Z43"/>
  <c r="V43"/>
  <c r="K43"/>
  <c r="Z42"/>
  <c r="V42"/>
  <c r="Z41"/>
  <c r="V41"/>
  <c r="K41"/>
  <c r="X40"/>
  <c r="W40"/>
  <c r="V40"/>
  <c r="V38" s="1"/>
  <c r="L40"/>
  <c r="K40"/>
  <c r="Y39"/>
  <c r="X39"/>
  <c r="W39"/>
  <c r="L39"/>
  <c r="B38"/>
  <c r="Z36"/>
  <c r="V36"/>
  <c r="U36"/>
  <c r="K36"/>
  <c r="J36"/>
  <c r="Z35"/>
  <c r="V35"/>
  <c r="U35"/>
  <c r="J35"/>
  <c r="Y34"/>
  <c r="X34"/>
  <c r="W34"/>
  <c r="L34"/>
  <c r="Z33"/>
  <c r="V33"/>
  <c r="V31" s="1"/>
  <c r="Y32"/>
  <c r="X32"/>
  <c r="X31" s="1"/>
  <c r="W32"/>
  <c r="W31" s="1"/>
  <c r="L32"/>
  <c r="X30"/>
  <c r="W30"/>
  <c r="V30"/>
  <c r="Y30" s="1"/>
  <c r="L30"/>
  <c r="X29"/>
  <c r="W29"/>
  <c r="V29"/>
  <c r="L29"/>
  <c r="K29"/>
  <c r="X28"/>
  <c r="W28"/>
  <c r="V28"/>
  <c r="L28"/>
  <c r="K28"/>
  <c r="X27"/>
  <c r="W27"/>
  <c r="V27"/>
  <c r="L27"/>
  <c r="Z27" s="1"/>
  <c r="K27"/>
  <c r="Y26"/>
  <c r="X26"/>
  <c r="W26"/>
  <c r="L26"/>
  <c r="B25"/>
  <c r="X24"/>
  <c r="W24"/>
  <c r="Z24" s="1"/>
  <c r="V24"/>
  <c r="Y24" s="1"/>
  <c r="X23"/>
  <c r="W23"/>
  <c r="V23"/>
  <c r="L23"/>
  <c r="B22"/>
  <c r="X21"/>
  <c r="X19" s="1"/>
  <c r="W21"/>
  <c r="W19" s="1"/>
  <c r="V21"/>
  <c r="L21"/>
  <c r="K21"/>
  <c r="Z20"/>
  <c r="V20"/>
  <c r="V19" s="1"/>
  <c r="J20"/>
  <c r="J19" s="1"/>
  <c r="J15" s="1"/>
  <c r="J13" s="1"/>
  <c r="K20"/>
  <c r="K19" s="1"/>
  <c r="B19"/>
  <c r="X18"/>
  <c r="W18"/>
  <c r="V18"/>
  <c r="L18"/>
  <c r="K18"/>
  <c r="X17"/>
  <c r="W17"/>
  <c r="V17"/>
  <c r="L17"/>
  <c r="K17"/>
  <c r="B16"/>
  <c r="Y14"/>
  <c r="X14"/>
  <c r="W14"/>
  <c r="L14"/>
  <c r="T13"/>
  <c r="T9" s="1"/>
  <c r="S13"/>
  <c r="R13"/>
  <c r="Q13"/>
  <c r="P13"/>
  <c r="O13"/>
  <c r="N13"/>
  <c r="I13"/>
  <c r="H13"/>
  <c r="H9" s="1"/>
  <c r="G13"/>
  <c r="F13"/>
  <c r="E13"/>
  <c r="D13"/>
  <c r="C13"/>
  <c r="Z12"/>
  <c r="V12"/>
  <c r="U12"/>
  <c r="U10" s="1"/>
  <c r="K12"/>
  <c r="J10"/>
  <c r="Z11"/>
  <c r="V11"/>
  <c r="K11"/>
  <c r="Z10"/>
  <c r="S9"/>
  <c r="W9" i="60" l="1"/>
  <c r="V49" i="74"/>
  <c r="V48" s="1"/>
  <c r="W38"/>
  <c r="Z40"/>
  <c r="X22"/>
  <c r="X38"/>
  <c r="X37" s="1"/>
  <c r="V37"/>
  <c r="Y28"/>
  <c r="Z23"/>
  <c r="AB10" i="70"/>
  <c r="AF10" s="1"/>
  <c r="AH9"/>
  <c r="AL9" s="1"/>
  <c r="Z21" i="74"/>
  <c r="Z18"/>
  <c r="Y12"/>
  <c r="AB14" i="70"/>
  <c r="Y17" i="74"/>
  <c r="Y23"/>
  <c r="Z29"/>
  <c r="Z30"/>
  <c r="Y35"/>
  <c r="Z39"/>
  <c r="B15"/>
  <c r="L19"/>
  <c r="L22"/>
  <c r="Z50"/>
  <c r="O25" i="70"/>
  <c r="S25" s="1"/>
  <c r="W16" i="74"/>
  <c r="J9"/>
  <c r="F20" i="2"/>
  <c r="K20" s="1"/>
  <c r="Z26" i="74"/>
  <c r="X25"/>
  <c r="K25"/>
  <c r="B37"/>
  <c r="F27" i="2"/>
  <c r="K27" s="1"/>
  <c r="F30"/>
  <c r="O26"/>
  <c r="B13" i="74"/>
  <c r="Y51"/>
  <c r="K49"/>
  <c r="K48" s="1"/>
  <c r="C13" i="1"/>
  <c r="AG25" i="70"/>
  <c r="AK25" s="1"/>
  <c r="D22"/>
  <c r="H22" s="1"/>
  <c r="Q38"/>
  <c r="AO38" s="1"/>
  <c r="AQ28"/>
  <c r="AQ24"/>
  <c r="AQ12"/>
  <c r="K22" i="74"/>
  <c r="W22"/>
  <c r="Z47"/>
  <c r="AA9" i="70"/>
  <c r="AE9" s="1"/>
  <c r="AG9"/>
  <c r="AK9" s="1"/>
  <c r="K16" i="74"/>
  <c r="Z34"/>
  <c r="W25"/>
  <c r="Y44"/>
  <c r="AR16" i="70"/>
  <c r="W15" i="74"/>
  <c r="AQ32" i="70"/>
  <c r="AQ20"/>
  <c r="AQ16"/>
  <c r="AR29"/>
  <c r="V10" i="74"/>
  <c r="Z14"/>
  <c r="V16"/>
  <c r="X16"/>
  <c r="X15" s="1"/>
  <c r="X13" s="1"/>
  <c r="V22"/>
  <c r="L45"/>
  <c r="C27" i="1" s="1"/>
  <c r="I9" i="70"/>
  <c r="M9" s="1"/>
  <c r="J14"/>
  <c r="N14" s="1"/>
  <c r="V22"/>
  <c r="Z22" s="1"/>
  <c r="AQ31"/>
  <c r="AQ29"/>
  <c r="AQ27"/>
  <c r="AQ23"/>
  <c r="AQ17"/>
  <c r="AQ15"/>
  <c r="AQ13"/>
  <c r="AQ11"/>
  <c r="AR32"/>
  <c r="AR24"/>
  <c r="AR11"/>
  <c r="Z19" i="74"/>
  <c r="Y27"/>
  <c r="Z28"/>
  <c r="Y29"/>
  <c r="Y36"/>
  <c r="Y40"/>
  <c r="Y37"/>
  <c r="Y59"/>
  <c r="D14" i="70"/>
  <c r="H14" s="1"/>
  <c r="P14"/>
  <c r="T14" s="1"/>
  <c r="H26"/>
  <c r="N31"/>
  <c r="N27"/>
  <c r="N23"/>
  <c r="N12"/>
  <c r="S26"/>
  <c r="S33"/>
  <c r="AF23"/>
  <c r="AF27"/>
  <c r="AF31"/>
  <c r="AL10"/>
  <c r="AL12"/>
  <c r="AM33"/>
  <c r="AQ33" s="1"/>
  <c r="AP31"/>
  <c r="AP27"/>
  <c r="I9" i="74"/>
  <c r="Z17"/>
  <c r="Y18"/>
  <c r="Y50"/>
  <c r="H17" i="70"/>
  <c r="T23"/>
  <c r="T31"/>
  <c r="Z10"/>
  <c r="Z12"/>
  <c r="Z27"/>
  <c r="Z31"/>
  <c r="AE10"/>
  <c r="AE33"/>
  <c r="AK10"/>
  <c r="AL23"/>
  <c r="AL27"/>
  <c r="AM30"/>
  <c r="AQ30" s="1"/>
  <c r="AM26"/>
  <c r="AQ26" s="1"/>
  <c r="AM22"/>
  <c r="AQ22" s="1"/>
  <c r="AM14"/>
  <c r="AQ14" s="1"/>
  <c r="AM10"/>
  <c r="AQ10" s="1"/>
  <c r="AP26"/>
  <c r="Y11" i="74"/>
  <c r="Z32"/>
  <c r="Y38"/>
  <c r="V25"/>
  <c r="Y25" s="1"/>
  <c r="Y41"/>
  <c r="Y43"/>
  <c r="Y57"/>
  <c r="L31"/>
  <c r="N10" i="70"/>
  <c r="M10"/>
  <c r="I25"/>
  <c r="M25" s="1"/>
  <c r="H31"/>
  <c r="H27"/>
  <c r="G10"/>
  <c r="P9"/>
  <c r="T9" s="1"/>
  <c r="U25"/>
  <c r="Y25" s="1"/>
  <c r="G26"/>
  <c r="AA25"/>
  <c r="O9"/>
  <c r="U9"/>
  <c r="J25"/>
  <c r="V25"/>
  <c r="Z25" s="1"/>
  <c r="AH25"/>
  <c r="AN31"/>
  <c r="AN30" s="1"/>
  <c r="AR30" s="1"/>
  <c r="C38"/>
  <c r="AN13"/>
  <c r="AR13" s="1"/>
  <c r="AN15"/>
  <c r="AN14" s="1"/>
  <c r="AR14" s="1"/>
  <c r="AN17"/>
  <c r="AR17" s="1"/>
  <c r="P25"/>
  <c r="AB25"/>
  <c r="AF25" s="1"/>
  <c r="AN33"/>
  <c r="AR33" s="1"/>
  <c r="AN12"/>
  <c r="AN10" s="1"/>
  <c r="AR10" s="1"/>
  <c r="AN23"/>
  <c r="AN22" s="1"/>
  <c r="AR22" s="1"/>
  <c r="AN27"/>
  <c r="F38"/>
  <c r="AP38" s="1"/>
  <c r="AN26"/>
  <c r="D30"/>
  <c r="D25" s="1"/>
  <c r="H25" s="1"/>
  <c r="Y58" i="74"/>
  <c r="Y42"/>
  <c r="Z45"/>
  <c r="W37"/>
  <c r="Y33"/>
  <c r="K31"/>
  <c r="Y31" s="1"/>
  <c r="W13"/>
  <c r="Z22"/>
  <c r="Z31"/>
  <c r="V15"/>
  <c r="Y16"/>
  <c r="K15"/>
  <c r="Y19"/>
  <c r="K10"/>
  <c r="L16"/>
  <c r="U20"/>
  <c r="U19" s="1"/>
  <c r="U15" s="1"/>
  <c r="U13" s="1"/>
  <c r="U9" s="1"/>
  <c r="L25"/>
  <c r="Z25" s="1"/>
  <c r="L38"/>
  <c r="L49"/>
  <c r="K55"/>
  <c r="G30" i="2" l="1"/>
  <c r="L30" s="1"/>
  <c r="K30"/>
  <c r="O31"/>
  <c r="X9" i="74"/>
  <c r="B9"/>
  <c r="AF14" i="70"/>
  <c r="AB9"/>
  <c r="G20" i="2"/>
  <c r="L20" s="1"/>
  <c r="K17"/>
  <c r="F45"/>
  <c r="G27"/>
  <c r="L27" s="1"/>
  <c r="F26"/>
  <c r="D9" i="70"/>
  <c r="H9" s="1"/>
  <c r="AG38"/>
  <c r="AK38" s="1"/>
  <c r="Y22" i="74"/>
  <c r="J9" i="70"/>
  <c r="N9" s="1"/>
  <c r="AN25"/>
  <c r="AR25" s="1"/>
  <c r="V38"/>
  <c r="O38"/>
  <c r="S9"/>
  <c r="AR31"/>
  <c r="AR15"/>
  <c r="AH38"/>
  <c r="AL38" s="1"/>
  <c r="AL25"/>
  <c r="U38"/>
  <c r="Y38" s="1"/>
  <c r="Y9"/>
  <c r="AR26"/>
  <c r="AR27"/>
  <c r="AM25"/>
  <c r="AQ25" s="1"/>
  <c r="AM9"/>
  <c r="AQ9" s="1"/>
  <c r="AR12"/>
  <c r="AR23"/>
  <c r="V13" i="74"/>
  <c r="V9" s="1"/>
  <c r="Z38" i="70"/>
  <c r="AA38"/>
  <c r="AE38" s="1"/>
  <c r="AE25"/>
  <c r="I38"/>
  <c r="M38" s="1"/>
  <c r="P38"/>
  <c r="T25"/>
  <c r="S38"/>
  <c r="J38"/>
  <c r="N38" s="1"/>
  <c r="N25"/>
  <c r="G38"/>
  <c r="H30"/>
  <c r="AN9"/>
  <c r="AR9" s="1"/>
  <c r="D38"/>
  <c r="H38" s="1"/>
  <c r="Y49" i="74"/>
  <c r="Y48"/>
  <c r="Y55"/>
  <c r="L37"/>
  <c r="Z37" s="1"/>
  <c r="Z38"/>
  <c r="Y10"/>
  <c r="Y15"/>
  <c r="K13"/>
  <c r="K9" s="1"/>
  <c r="W9"/>
  <c r="Z49"/>
  <c r="L48"/>
  <c r="Z16"/>
  <c r="L15"/>
  <c r="G26" i="2" l="1"/>
  <c r="L26" s="1"/>
  <c r="K26"/>
  <c r="G45"/>
  <c r="L45" s="1"/>
  <c r="K45"/>
  <c r="AF9" i="70"/>
  <c r="AB38"/>
  <c r="AF38" s="1"/>
  <c r="AN38"/>
  <c r="AR38" s="1"/>
  <c r="C14" i="1"/>
  <c r="C12" s="1"/>
  <c r="Y13" i="74"/>
  <c r="G17" i="2"/>
  <c r="L17" s="1"/>
  <c r="F15"/>
  <c r="AM38" i="70"/>
  <c r="AQ38" s="1"/>
  <c r="T38"/>
  <c r="Z15" i="74"/>
  <c r="L13"/>
  <c r="Z48"/>
  <c r="F10" i="2" l="1"/>
  <c r="K15"/>
  <c r="G15"/>
  <c r="L15" s="1"/>
  <c r="O30"/>
  <c r="Z13" i="74"/>
  <c r="L9"/>
  <c r="Y9"/>
  <c r="F9" i="2" l="1"/>
  <c r="K9" s="1"/>
  <c r="K10"/>
  <c r="C28" i="1"/>
  <c r="F46" i="2" s="1"/>
  <c r="K46" s="1"/>
  <c r="G10"/>
  <c r="O15"/>
  <c r="Z9" i="74"/>
  <c r="G16" i="68"/>
  <c r="F16"/>
  <c r="E16"/>
  <c r="G9" i="2" l="1"/>
  <c r="L9" s="1"/>
  <c r="L10"/>
  <c r="C26" i="1"/>
  <c r="C31" s="1"/>
  <c r="G46" i="2"/>
  <c r="L46" s="1"/>
  <c r="J11" i="30"/>
  <c r="J16"/>
  <c r="C30" i="1" l="1"/>
  <c r="C25" s="1"/>
  <c r="C22"/>
  <c r="C21" s="1"/>
  <c r="D16" i="68"/>
  <c r="D12" i="30" l="1"/>
  <c r="E13" i="2"/>
  <c r="E11" s="1"/>
  <c r="D13"/>
  <c r="D11" s="1"/>
  <c r="Z11" i="60"/>
  <c r="L28"/>
  <c r="Z28" s="1"/>
  <c r="L10"/>
  <c r="L9" s="1"/>
  <c r="L26"/>
  <c r="L25" s="1"/>
  <c r="E45" i="2"/>
  <c r="E46"/>
  <c r="O37"/>
  <c r="E21"/>
  <c r="E20"/>
  <c r="E17" s="1"/>
  <c r="D18"/>
  <c r="X29" i="60"/>
  <c r="W28"/>
  <c r="W24"/>
  <c r="W22" s="1"/>
  <c r="V21"/>
  <c r="X21"/>
  <c r="W19"/>
  <c r="V19"/>
  <c r="W18"/>
  <c r="V18"/>
  <c r="X17"/>
  <c r="W16"/>
  <c r="X16"/>
  <c r="W14"/>
  <c r="X15"/>
  <c r="AA15" s="1"/>
  <c r="T8"/>
  <c r="Y29"/>
  <c r="Y21"/>
  <c r="Y17"/>
  <c r="Y16"/>
  <c r="Y15"/>
  <c r="D49" i="2"/>
  <c r="C46"/>
  <c r="C45"/>
  <c r="E26"/>
  <c r="C9" i="60"/>
  <c r="I30" i="2"/>
  <c r="J30" s="1"/>
  <c r="M30" s="1"/>
  <c r="I27"/>
  <c r="Z29" i="60"/>
  <c r="AA28"/>
  <c r="AA26"/>
  <c r="AA25"/>
  <c r="AA24"/>
  <c r="AA23"/>
  <c r="Z23"/>
  <c r="AA22"/>
  <c r="AA19"/>
  <c r="AA18"/>
  <c r="Z18"/>
  <c r="Z17"/>
  <c r="Z15"/>
  <c r="I8"/>
  <c r="AA11"/>
  <c r="AA10"/>
  <c r="AA9"/>
  <c r="C26" i="2"/>
  <c r="C22"/>
  <c r="C20"/>
  <c r="C18"/>
  <c r="C13"/>
  <c r="C11" s="1"/>
  <c r="D26"/>
  <c r="D11" i="30"/>
  <c r="C11" s="1"/>
  <c r="K17"/>
  <c r="J15"/>
  <c r="J14"/>
  <c r="J12"/>
  <c r="D20" i="2"/>
  <c r="D17" s="1"/>
  <c r="D22"/>
  <c r="D21" s="1"/>
  <c r="D14" i="30"/>
  <c r="D15"/>
  <c r="D16"/>
  <c r="G17"/>
  <c r="H17"/>
  <c r="I17"/>
  <c r="R17"/>
  <c r="S17"/>
  <c r="T17"/>
  <c r="I15" i="33"/>
  <c r="D13" i="30"/>
  <c r="Q17"/>
  <c r="Z19" i="60" l="1"/>
  <c r="Z26"/>
  <c r="I20" i="2"/>
  <c r="I17" s="1"/>
  <c r="J27"/>
  <c r="M27" s="1"/>
  <c r="I26"/>
  <c r="J26" s="1"/>
  <c r="M26" s="1"/>
  <c r="I45"/>
  <c r="AA16" i="60"/>
  <c r="AA17"/>
  <c r="Z9"/>
  <c r="Z10"/>
  <c r="X14"/>
  <c r="X13" s="1"/>
  <c r="J8"/>
  <c r="C44" i="2"/>
  <c r="C12" i="30"/>
  <c r="J17"/>
  <c r="O16"/>
  <c r="O17" s="1"/>
  <c r="P17"/>
  <c r="Z24" i="60"/>
  <c r="E15" i="2"/>
  <c r="W25" i="60"/>
  <c r="Z25" s="1"/>
  <c r="D45" i="2"/>
  <c r="C17"/>
  <c r="C21"/>
  <c r="Y14" i="60"/>
  <c r="Y13" s="1"/>
  <c r="Y20"/>
  <c r="E44" i="2"/>
  <c r="D15"/>
  <c r="D10" s="1"/>
  <c r="W20" i="60"/>
  <c r="W21"/>
  <c r="Z21" s="1"/>
  <c r="Z16"/>
  <c r="U8"/>
  <c r="D17" i="30"/>
  <c r="E10" i="2"/>
  <c r="Z22" i="60"/>
  <c r="L17" i="30"/>
  <c r="C15" i="2"/>
  <c r="C10" s="1"/>
  <c r="L8" i="60"/>
  <c r="Z14"/>
  <c r="V13"/>
  <c r="X20" l="1"/>
  <c r="AA20" s="1"/>
  <c r="J20" i="2"/>
  <c r="M20" s="1"/>
  <c r="X12" i="60"/>
  <c r="V12"/>
  <c r="V8" s="1"/>
  <c r="AA21"/>
  <c r="E11" i="17"/>
  <c r="E10" s="1"/>
  <c r="E9" s="1"/>
  <c r="Y12" i="60"/>
  <c r="Y8" s="1"/>
  <c r="E26" i="1"/>
  <c r="C8" i="60"/>
  <c r="J45" i="2"/>
  <c r="M45" s="1"/>
  <c r="I15"/>
  <c r="J17"/>
  <c r="M17" s="1"/>
  <c r="Z20" i="60"/>
  <c r="W13"/>
  <c r="W12" s="1"/>
  <c r="W8" s="1"/>
  <c r="M8"/>
  <c r="AA14"/>
  <c r="X8"/>
  <c r="C14" i="30"/>
  <c r="C16"/>
  <c r="C15"/>
  <c r="Z13" i="60" l="1"/>
  <c r="Z12" s="1"/>
  <c r="F10" i="17"/>
  <c r="F28"/>
  <c r="J15" i="2"/>
  <c r="M15" s="1"/>
  <c r="I10"/>
  <c r="D15" i="33"/>
  <c r="AA13" i="60"/>
  <c r="AA12" s="1"/>
  <c r="I10" i="68"/>
  <c r="I12"/>
  <c r="I15"/>
  <c r="I13"/>
  <c r="C13" i="30"/>
  <c r="I9" i="2" l="1"/>
  <c r="J9" s="1"/>
  <c r="M9" s="1"/>
  <c r="J10"/>
  <c r="M10" s="1"/>
  <c r="H11" i="68"/>
  <c r="I11"/>
  <c r="G10" i="33"/>
  <c r="F10" s="1"/>
  <c r="Z8" i="60"/>
  <c r="H14" i="68" l="1"/>
  <c r="U16" i="30"/>
  <c r="N16" s="1"/>
  <c r="H15" i="68"/>
  <c r="C15" s="1"/>
  <c r="C17" i="30"/>
  <c r="I14" i="68"/>
  <c r="I16" s="1"/>
  <c r="H10"/>
  <c r="AA8" i="60"/>
  <c r="C11" i="68"/>
  <c r="G14" i="33"/>
  <c r="N14" i="29"/>
  <c r="G9" i="33"/>
  <c r="F9" s="1"/>
  <c r="U12" i="30"/>
  <c r="N12" s="1"/>
  <c r="D46" i="2"/>
  <c r="F14" i="33" l="1"/>
  <c r="F15" s="1"/>
  <c r="E25" i="1"/>
  <c r="I46" i="2"/>
  <c r="J46" s="1"/>
  <c r="U15" i="30"/>
  <c r="N15" s="1"/>
  <c r="U13"/>
  <c r="N13" s="1"/>
  <c r="H12" i="68"/>
  <c r="C12" s="1"/>
  <c r="H13"/>
  <c r="C13" s="1"/>
  <c r="G13" i="33"/>
  <c r="F13" s="1"/>
  <c r="C10" i="68"/>
  <c r="W17" i="30"/>
  <c r="C14" i="68"/>
  <c r="N13" i="29"/>
  <c r="G12" i="33"/>
  <c r="F12" s="1"/>
  <c r="U14" i="30"/>
  <c r="N14" s="1"/>
  <c r="N9" i="29"/>
  <c r="D44" i="2"/>
  <c r="N10" i="29"/>
  <c r="U11" i="30"/>
  <c r="N11" s="1"/>
  <c r="M46" i="2" l="1"/>
  <c r="I44"/>
  <c r="J44" s="1"/>
  <c r="M44" s="1"/>
  <c r="H16" i="68"/>
  <c r="N17" i="30"/>
  <c r="V17"/>
  <c r="U17" s="1"/>
  <c r="C16" i="68"/>
  <c r="N11" i="29"/>
  <c r="N12"/>
  <c r="G11" i="33"/>
  <c r="E15"/>
  <c r="N15" i="29" l="1"/>
  <c r="F11" i="33"/>
  <c r="C53" i="26" l="1"/>
  <c r="C51" s="1"/>
  <c r="D51"/>
  <c r="D9" s="1"/>
  <c r="D8" s="1"/>
  <c r="D92" s="1"/>
  <c r="C9" l="1"/>
  <c r="C8" l="1"/>
  <c r="C92" s="1"/>
  <c r="C20" i="1" l="1"/>
  <c r="C19" s="1"/>
  <c r="C17" l="1"/>
  <c r="C16" s="1"/>
  <c r="C11" s="1"/>
  <c r="F47" i="2" l="1"/>
  <c r="K47" s="1"/>
  <c r="G47" l="1"/>
  <c r="L47" s="1"/>
  <c r="F44"/>
  <c r="K44" s="1"/>
  <c r="H11" i="29"/>
  <c r="F11"/>
  <c r="G11"/>
  <c r="G44" i="2" l="1"/>
  <c r="L44" s="1"/>
  <c r="H12" i="29"/>
  <c r="G12"/>
  <c r="F12"/>
  <c r="H14"/>
  <c r="F14"/>
  <c r="G14"/>
  <c r="H13"/>
  <c r="F13"/>
  <c r="G13"/>
  <c r="H10"/>
  <c r="F10"/>
  <c r="G10"/>
  <c r="C15" l="1"/>
  <c r="H9"/>
  <c r="G9"/>
  <c r="F9"/>
  <c r="L10" l="1"/>
  <c r="M10"/>
  <c r="H15"/>
  <c r="G15"/>
  <c r="F15"/>
  <c r="L14" l="1"/>
  <c r="M14"/>
  <c r="M9"/>
  <c r="L13"/>
  <c r="M13"/>
  <c r="L12" l="1"/>
  <c r="M12"/>
  <c r="L11"/>
  <c r="M11"/>
  <c r="M15" l="1"/>
  <c r="L15"/>
</calcChain>
</file>

<file path=xl/comments1.xml><?xml version="1.0" encoding="utf-8"?>
<comments xmlns="http://schemas.openxmlformats.org/spreadsheetml/2006/main">
  <authors>
    <author>ADMIN</author>
  </authors>
  <commentList>
    <comment ref="D10" authorId="0">
      <text>
        <r>
          <rPr>
            <b/>
            <sz val="8"/>
            <color indexed="81"/>
            <rFont val="Tahoma"/>
            <family val="2"/>
          </rPr>
          <t>ADMIN:</t>
        </r>
        <r>
          <rPr>
            <sz val="8"/>
            <color indexed="81"/>
            <rFont val="Tahoma"/>
            <family val="2"/>
          </rPr>
          <t xml:space="preserve">
Cong thêm hệ số lương</t>
        </r>
      </text>
    </comment>
    <comment ref="D11" authorId="0">
      <text>
        <r>
          <rPr>
            <b/>
            <sz val="8"/>
            <color indexed="81"/>
            <rFont val="Tahoma"/>
            <family val="2"/>
          </rPr>
          <t>ADMIN:</t>
        </r>
        <r>
          <rPr>
            <sz val="8"/>
            <color indexed="81"/>
            <rFont val="Tahoma"/>
            <family val="2"/>
          </rPr>
          <t xml:space="preserve">
Cong thêm hệ số lương</t>
        </r>
      </text>
    </comment>
    <comment ref="E74" authorId="0">
      <text>
        <r>
          <rPr>
            <b/>
            <sz val="8"/>
            <color indexed="81"/>
            <rFont val="Tahoma"/>
            <family val="2"/>
          </rPr>
          <t>ADMIN:</t>
        </r>
        <r>
          <rPr>
            <sz val="8"/>
            <color indexed="81"/>
            <rFont val="Tahoma"/>
            <family val="2"/>
          </rPr>
          <t xml:space="preserve">
Cộng thêm mỗi đơn vị 1,5% nhưng tính 50 triệu đồng
</t>
        </r>
      </text>
    </comment>
    <comment ref="H74" authorId="0">
      <text>
        <r>
          <rPr>
            <b/>
            <sz val="8"/>
            <color indexed="81"/>
            <rFont val="Tahoma"/>
            <family val="2"/>
          </rPr>
          <t>ADMIN:</t>
        </r>
        <r>
          <rPr>
            <sz val="8"/>
            <color indexed="81"/>
            <rFont val="Tahoma"/>
            <family val="2"/>
          </rPr>
          <t xml:space="preserve">
Cộng thêm mỗi đơn vị 1,5% nhưng tính 50 triệu đồng
</t>
        </r>
      </text>
    </comment>
    <comment ref="K74" authorId="0">
      <text>
        <r>
          <rPr>
            <b/>
            <sz val="8"/>
            <color indexed="81"/>
            <rFont val="Tahoma"/>
            <family val="2"/>
          </rPr>
          <t>ADMIN:</t>
        </r>
        <r>
          <rPr>
            <sz val="8"/>
            <color indexed="81"/>
            <rFont val="Tahoma"/>
            <family val="2"/>
          </rPr>
          <t xml:space="preserve">
Cộng thêm mỗi đơn vị 1,5% nhưng tính 50 triệu đồng
</t>
        </r>
      </text>
    </comment>
    <comment ref="N74" authorId="0">
      <text>
        <r>
          <rPr>
            <b/>
            <sz val="8"/>
            <color indexed="81"/>
            <rFont val="Tahoma"/>
            <family val="2"/>
          </rPr>
          <t>ADMIN:</t>
        </r>
        <r>
          <rPr>
            <sz val="8"/>
            <color indexed="81"/>
            <rFont val="Tahoma"/>
            <family val="2"/>
          </rPr>
          <t xml:space="preserve">
Cộng thêm mỗi đơn vị 1,5% nhưng tính 50 triệu đồng
</t>
        </r>
      </text>
    </comment>
    <comment ref="Q74" authorId="0">
      <text>
        <r>
          <rPr>
            <b/>
            <sz val="8"/>
            <color indexed="81"/>
            <rFont val="Tahoma"/>
            <family val="2"/>
          </rPr>
          <t>ADMIN:</t>
        </r>
        <r>
          <rPr>
            <sz val="8"/>
            <color indexed="81"/>
            <rFont val="Tahoma"/>
            <family val="2"/>
          </rPr>
          <t xml:space="preserve">
Cộng thêm mỗi đơn vị 1,5% nhưng tính 50 triệu đồng
</t>
        </r>
      </text>
    </comment>
    <comment ref="T74" authorId="0">
      <text>
        <r>
          <rPr>
            <b/>
            <sz val="8"/>
            <color indexed="81"/>
            <rFont val="Tahoma"/>
            <family val="2"/>
          </rPr>
          <t>ADMIN:</t>
        </r>
        <r>
          <rPr>
            <sz val="8"/>
            <color indexed="81"/>
            <rFont val="Tahoma"/>
            <family val="2"/>
          </rPr>
          <t xml:space="preserve">
Cộng thêm mỗi đơn vị 1,5% nhưng tính 50 triệu đồng
</t>
        </r>
      </text>
    </comment>
  </commentList>
</comments>
</file>

<file path=xl/comments2.xml><?xml version="1.0" encoding="utf-8"?>
<comments xmlns="http://schemas.openxmlformats.org/spreadsheetml/2006/main">
  <authors>
    <author>ADMIN</author>
  </authors>
  <commentList>
    <comment ref="D11" authorId="0">
      <text>
        <r>
          <rPr>
            <b/>
            <sz val="8"/>
            <color indexed="81"/>
            <rFont val="Tahoma"/>
            <family val="2"/>
          </rPr>
          <t>ADMIN:</t>
        </r>
        <r>
          <rPr>
            <sz val="8"/>
            <color indexed="81"/>
            <rFont val="Tahoma"/>
            <family val="2"/>
          </rPr>
          <t xml:space="preserve">
Cong thêm hệ số lương</t>
        </r>
      </text>
    </comment>
    <comment ref="E66" authorId="0">
      <text>
        <r>
          <rPr>
            <b/>
            <sz val="8"/>
            <color indexed="81"/>
            <rFont val="Tahoma"/>
            <family val="2"/>
          </rPr>
          <t>ADMIN:</t>
        </r>
        <r>
          <rPr>
            <sz val="8"/>
            <color indexed="81"/>
            <rFont val="Tahoma"/>
            <family val="2"/>
          </rPr>
          <t xml:space="preserve">
Cộng thêm mỗi đơn vị 1,5% nhưng tính 50 triệu đồng
</t>
        </r>
      </text>
    </comment>
    <comment ref="H66" authorId="0">
      <text>
        <r>
          <rPr>
            <b/>
            <sz val="8"/>
            <color indexed="81"/>
            <rFont val="Tahoma"/>
            <family val="2"/>
          </rPr>
          <t>ADMIN:</t>
        </r>
        <r>
          <rPr>
            <sz val="8"/>
            <color indexed="81"/>
            <rFont val="Tahoma"/>
            <family val="2"/>
          </rPr>
          <t xml:space="preserve">
Cộng thêm mỗi đơn vị 1,5% nhưng tính 50 triệu đồng
</t>
        </r>
      </text>
    </comment>
    <comment ref="K66" authorId="0">
      <text>
        <r>
          <rPr>
            <b/>
            <sz val="8"/>
            <color indexed="81"/>
            <rFont val="Tahoma"/>
            <family val="2"/>
          </rPr>
          <t>ADMIN:</t>
        </r>
        <r>
          <rPr>
            <sz val="8"/>
            <color indexed="81"/>
            <rFont val="Tahoma"/>
            <family val="2"/>
          </rPr>
          <t xml:space="preserve">
Cộng thêm mỗi đơn vị 1,5% nhưng tính 50 triệu đồng
</t>
        </r>
      </text>
    </comment>
    <comment ref="N66" authorId="0">
      <text>
        <r>
          <rPr>
            <b/>
            <sz val="8"/>
            <color indexed="81"/>
            <rFont val="Tahoma"/>
            <family val="2"/>
          </rPr>
          <t>ADMIN:</t>
        </r>
        <r>
          <rPr>
            <sz val="8"/>
            <color indexed="81"/>
            <rFont val="Tahoma"/>
            <family val="2"/>
          </rPr>
          <t xml:space="preserve">
Cộng thêm mỗi đơn vị 1,5% nhưng tính 50 triệu đồng
</t>
        </r>
      </text>
    </comment>
    <comment ref="Q66" authorId="0">
      <text>
        <r>
          <rPr>
            <b/>
            <sz val="8"/>
            <color indexed="81"/>
            <rFont val="Tahoma"/>
            <family val="2"/>
          </rPr>
          <t>ADMIN:</t>
        </r>
        <r>
          <rPr>
            <sz val="8"/>
            <color indexed="81"/>
            <rFont val="Tahoma"/>
            <family val="2"/>
          </rPr>
          <t xml:space="preserve">
Cộng thêm mỗi đơn vị 1,5% nhưng tính 50 triệu đồng
</t>
        </r>
      </text>
    </comment>
    <comment ref="T66" authorId="0">
      <text>
        <r>
          <rPr>
            <b/>
            <sz val="8"/>
            <color indexed="81"/>
            <rFont val="Tahoma"/>
            <family val="2"/>
          </rPr>
          <t>ADMIN:</t>
        </r>
        <r>
          <rPr>
            <sz val="8"/>
            <color indexed="81"/>
            <rFont val="Tahoma"/>
            <family val="2"/>
          </rPr>
          <t xml:space="preserve">
Cộng thêm mỗi đơn vị 1,5% nhưng tính 50 triệu đồng
</t>
        </r>
      </text>
    </comment>
  </commentList>
</comments>
</file>

<file path=xl/sharedStrings.xml><?xml version="1.0" encoding="utf-8"?>
<sst xmlns="http://schemas.openxmlformats.org/spreadsheetml/2006/main" count="3817" uniqueCount="1837">
  <si>
    <t>Tæng c¸c kho¶n thu 
giao c©n ®èi</t>
  </si>
  <si>
    <t>Thay đổi nổi dung pano lớn Đậu Liêu: 2 x cái 72m2x 130.000 đ/m</t>
  </si>
  <si>
    <t>Tiền tết 03 người ( 01 trưởng x 5 triệu; 01 phó x 4,5 triệu, 1 x 4 triệu )</t>
  </si>
  <si>
    <t>Lĩnh vực Thể dục -Thể thao</t>
  </si>
  <si>
    <t>Kinh phí sự nghiệp giáo dục, CSVC các trường học trên địa bàn</t>
  </si>
  <si>
    <t>Kinh phí thường xuyên</t>
  </si>
  <si>
    <t>Kinh phí hoạt động chuyên môn</t>
  </si>
  <si>
    <t>KP tổ chức tiếp xúc cử tri , đại biểu thị xã, tỉnh quốc hội: 16 cuộc x 500.000 đ</t>
  </si>
  <si>
    <t>Tập huấn nghiệp vụ cho CLB dân ca, ví giặm cơ sở</t>
  </si>
  <si>
    <t>Các giải thị xã: 7 giải</t>
  </si>
  <si>
    <t>Hội nghị công tác phối hợp với chính quyền</t>
  </si>
  <si>
    <t>DT đầu năm</t>
  </si>
  <si>
    <t>Hội liên hiệp Phụ nữ</t>
  </si>
  <si>
    <t>Phụ cấp công vụ và đảng đoàn thể</t>
  </si>
  <si>
    <t>Tết tỉnh 3 hội (1 CT; 2 PCT; 2 trung tâm)</t>
  </si>
  <si>
    <t>Hội cựu chiến binh</t>
  </si>
  <si>
    <t xml:space="preserve">Phụ cấp theo NĐ 57/NĐ-CP </t>
  </si>
  <si>
    <t>11. Thu kh¸c t¹i x·</t>
  </si>
  <si>
    <t>§¸nh gi¸ thùc hiÖn chi ng©n s¸ch theo mét sè lÜnh vùc</t>
  </si>
  <si>
    <t>Bao gåm</t>
  </si>
  <si>
    <t>Tr ®ã chi ®Çu t­ XDCB</t>
  </si>
  <si>
    <t>Ho¹t ®éng T.X</t>
  </si>
  <si>
    <t>Báo, tạp chí phục vụ hoạt động thư viện 2.500.000đồng/quý * 4 quý</t>
  </si>
  <si>
    <t>Kinh phí cuộc vận động ngày  "vì người ngèo" và làm nhà ở hộ nghèo:  
  - In ấn, phô tô tài liệu, tuyên truyền: 2.000.000 đ;
  - Maket, hoa tươi, nước uống: 2.000.000 đ.
  - Kinh phí đại biểu dự họp: 120 người x 50.000 đ = 6.000.000 đ.
  - Khen thưởng: 5.000.000 đồng.
  - Tập huấn người nghèo 80 người x 50.000 đ = 4.000.000 đ
  - Chi khác: 1.000.000 đ.</t>
  </si>
  <si>
    <t xml:space="preserve">                                                                                                                                                                                                                                                                                 Đơn vị tính: nghìn đồng</t>
  </si>
  <si>
    <t>VII</t>
  </si>
  <si>
    <t>VIII</t>
  </si>
  <si>
    <t>Chi côc thu</t>
  </si>
  <si>
    <t>a</t>
  </si>
  <si>
    <t>b</t>
  </si>
  <si>
    <t>Ng©n s¸ch tØnh</t>
  </si>
  <si>
    <t>Ng©n s¸ch x·</t>
  </si>
  <si>
    <t>1. Thu quèc doanh</t>
  </si>
  <si>
    <t>2. Thu ngoµi quèc doanh</t>
  </si>
  <si>
    <t xml:space="preserve"> - ThuÕ GTGT vµ TNDN</t>
  </si>
  <si>
    <t>5. ThuÕ thu nhËp c¸ nh©n</t>
  </si>
  <si>
    <t xml:space="preserve"> - LÖ phÝ thÞ x·</t>
  </si>
  <si>
    <t xml:space="preserve"> - Thu kh¸c cßn l¹i</t>
  </si>
  <si>
    <t>Trung tâm Ứng dụng KHCN và BV cây trông vật nuôi</t>
  </si>
  <si>
    <t>Chi công tác soạn thảo văn bản QPPL: 3 văn bản*4 triệu = 12 tr</t>
  </si>
  <si>
    <t>Chúc tết tỉnh: ( 1 trưởng; 04 phó)</t>
  </si>
  <si>
    <t xml:space="preserve">Kinh phí ngày thầy thuốc Việt nam 27/2/2016 </t>
  </si>
  <si>
    <t xml:space="preserve"> + Trªn ®Þa bµn x· (thu hé CN)</t>
  </si>
  <si>
    <t xml:space="preserve"> + Trªn ®Þa bµn ph­êng (thu hé CN)</t>
  </si>
  <si>
    <t>Kinh phí sơ kết, tổng kết công tác kiểm tra, giám sát của cấp ủy</t>
  </si>
  <si>
    <t>Kinh phí đi học tập kinh nghiệm (04 đ/c x 2 triệu đồng đ/c)</t>
  </si>
  <si>
    <t>Kinh phí đi công tác ngoại tỉnh của TT</t>
  </si>
  <si>
    <t>Sửa chữa máy vi tính, đổ mực máy in (09 máy tính, 10 máy in); sửa đường điện, thay bóng điện</t>
  </si>
  <si>
    <t>Hỗ trợ xăng xe cho BTV Thị uỷ ( 01 đ/c x 2.000.000đ x 12 tháng )</t>
  </si>
  <si>
    <t>Tết tỉnh : (03 trưởng ; 15 phó) - Sở NN- Công thương - KHCN</t>
  </si>
  <si>
    <t>Kinh phí cho các đoàn kiểm tra của BTV thị ủy</t>
  </si>
  <si>
    <t>Chi hỗ trợ hoạt động TX các phường, xã (0,5% từ mực 2-7</t>
  </si>
  <si>
    <t>Bảo hiểm dân sự người ngồi trên xe; phí kiểm định; bảo trì đường bộ</t>
  </si>
  <si>
    <t>Mua cờ Đảng cờ tổ quốc: 500 lá x 17.000 đ/lá</t>
  </si>
  <si>
    <t xml:space="preserve">May cờ Hồng kỳ: 200 cái x 40.000 đ/cái </t>
  </si>
  <si>
    <t>TỔNG CỘNG</t>
  </si>
  <si>
    <t>Cộng</t>
  </si>
  <si>
    <t>NS thị xã</t>
  </si>
  <si>
    <t>Chênh lệch</t>
  </si>
  <si>
    <t>Thu NSNN</t>
  </si>
  <si>
    <t>Tôn Quang Ngọc</t>
  </si>
  <si>
    <t>Thu Quốc doanh</t>
  </si>
  <si>
    <t>Thuế VAT-TNDN</t>
  </si>
  <si>
    <t xml:space="preserve"> </t>
  </si>
  <si>
    <t>Tết tỉnh ( 02 trưởng; 07 phó )</t>
  </si>
  <si>
    <t>Chúc tết tĩnh (trường chính trị) ( 01 trưởng; 03 phó )</t>
  </si>
  <si>
    <t>XVII</t>
  </si>
  <si>
    <t>XVIII</t>
  </si>
  <si>
    <t xml:space="preserve"> + Trªn ®Þa bµn x·</t>
  </si>
  <si>
    <t>3. LÖ phÝ tr­íc b¹</t>
  </si>
  <si>
    <t xml:space="preserve"> - Thu ph¹t ATGT</t>
  </si>
  <si>
    <t>Ngoµi quèc doanh</t>
  </si>
  <si>
    <t>Ng©n s¸ch ThÞ x·</t>
  </si>
  <si>
    <t>ChØ tiªu</t>
  </si>
  <si>
    <t>Chúc tết tỉnh (02 trưởng; 8 phó)</t>
  </si>
  <si>
    <t>Tiền chúc tết tỉnh (01 trưởng; 01 phó)</t>
  </si>
  <si>
    <t>TT</t>
  </si>
  <si>
    <t>Néi dung</t>
  </si>
  <si>
    <t>A</t>
  </si>
  <si>
    <t>B</t>
  </si>
  <si>
    <t xml:space="preserve"> - ThuÕ tµi nguyªn</t>
  </si>
  <si>
    <t xml:space="preserve"> - ThuÕ m«n bµi</t>
  </si>
  <si>
    <t xml:space="preserve"> - Thu kh¸c ngoµi quèc doanh</t>
  </si>
  <si>
    <t>Tæng sè</t>
  </si>
  <si>
    <t>I</t>
  </si>
  <si>
    <t>II</t>
  </si>
  <si>
    <t>Tæng céng</t>
  </si>
  <si>
    <t xml:space="preserve"> - Tr­íc b¹ nhµ ®Êt</t>
  </si>
  <si>
    <t xml:space="preserve"> - Tr­íc b¹ ph­¬ng tiÖn</t>
  </si>
  <si>
    <t xml:space="preserve"> + Trªn ®Þa bµn ph­êng</t>
  </si>
  <si>
    <t>Trung tâm y tế dự phòng thị xã Hồng Lĩnh</t>
  </si>
  <si>
    <t>NS phường, xã</t>
  </si>
  <si>
    <t>Hụt thu NS tỉnh</t>
  </si>
  <si>
    <t>Hệ số lương, PC</t>
  </si>
  <si>
    <t>Sự nghiệp kinh tế</t>
  </si>
  <si>
    <t>Ban Bảo vệ sức khoẻ cán bộ</t>
  </si>
  <si>
    <t>Phòng Giáo dục – Đào tạo</t>
  </si>
  <si>
    <t>Phòng Thanh tra</t>
  </si>
  <si>
    <t>Phòng Văn hóa - TT</t>
  </si>
  <si>
    <t xml:space="preserve"> - Lệ phí môn bài</t>
  </si>
  <si>
    <t>Tiền lương, phụ cấp CV, BL, TNVK (4 đ/c)</t>
  </si>
  <si>
    <t>Tiền lương, phụ cấp CV, BL, TNVK (3 đ/c)</t>
  </si>
  <si>
    <t>Kinh phí lương, phụ cấp  của đ/c Oanh</t>
  </si>
  <si>
    <t xml:space="preserve"> +C¸c lo¹i kh¸c</t>
  </si>
  <si>
    <t xml:space="preserve"> Thu ngân sách được hưởng theo phân cấp</t>
  </si>
  <si>
    <t>CÊp quyÒn SD ®Êt</t>
  </si>
  <si>
    <t>c</t>
  </si>
  <si>
    <t>Ph­êng Nam Hång</t>
  </si>
  <si>
    <t>P. §øc ThuËn</t>
  </si>
  <si>
    <t>P. Trung L­¬ng</t>
  </si>
  <si>
    <t>P. §Ëu Liªu</t>
  </si>
  <si>
    <t xml:space="preserve"> - VAT - TNDN</t>
  </si>
  <si>
    <t xml:space="preserve"> - ThuÕ tµi nguyªn </t>
  </si>
  <si>
    <t xml:space="preserve"> - ThuÕ TT§B</t>
  </si>
  <si>
    <t xml:space="preserve"> - Ph­¬ng tiÖn</t>
  </si>
  <si>
    <t xml:space="preserve"> - ThuÕ VAT + TNDN</t>
  </si>
  <si>
    <t>Kinh phí tổ chức tết trồng cây</t>
  </si>
  <si>
    <t>7.1</t>
  </si>
  <si>
    <t>7.2</t>
  </si>
  <si>
    <t>7.3</t>
  </si>
  <si>
    <t xml:space="preserve">Kinh phí làm pano, áp phích, khẩu hiệu hưởng ứng phục vụ các ngày lễ phát động, ra quân về bảo vệ môi trường Bao gồm : Tuần lễ nước sạch VSMT, ngày môi trường thế giới, ngày nước thế giới, Ngày đa dạng thế giới, ngày làm cho thế giới sạch hơn (5 lần x 8.000.000đ/lần) </t>
  </si>
  <si>
    <t xml:space="preserve">Giải kéo co mừng Đảng, mừng Xuân </t>
  </si>
  <si>
    <t>Giải đẩy gậy</t>
  </si>
  <si>
    <t xml:space="preserve">Giải bóng chuyền nam </t>
  </si>
  <si>
    <t>Giải vật đầu xuân</t>
  </si>
  <si>
    <t>Giải kéo co</t>
  </si>
  <si>
    <t xml:space="preserve">Giải cầu lông </t>
  </si>
  <si>
    <t>Giải bóng bàn</t>
  </si>
  <si>
    <t>Xăng xe đi công tác (10.000.000đ/tháng x 12)</t>
  </si>
  <si>
    <t>Kinh phí chúc tết</t>
  </si>
  <si>
    <t>ĐVT: nghìn đồng</t>
  </si>
  <si>
    <t>Mua mét làm cán cờ tổ quốc: 500 cán x 4.000 đ/cái</t>
  </si>
  <si>
    <t>200 cán x 11.000 đ/cái</t>
  </si>
  <si>
    <t>Thay đổi nổi dung pano lớn đường 03/2 và Sỷ Hi Nhan:03 cái x 48m2x 130đ/mx 2 đợt</t>
  </si>
  <si>
    <t>Tổ chức Câu lạc bộ thơ toàn thị xã</t>
  </si>
  <si>
    <t>Hỗ trợ 6 câu lạc bộ Dân ca, ví giặm cơ sở</t>
  </si>
  <si>
    <t>06 CLB x 2 triệu đồng/CLB</t>
  </si>
  <si>
    <t xml:space="preserve">Kinh phí mở 02 lớp tập huấn nâng cao NVCM cho kế toán các đơn vị </t>
  </si>
  <si>
    <t>Chi đặc biệt của cấp uỷ (2-5%) KPTX theo QĐ 215 của Ban Tài chính Trung ương</t>
  </si>
  <si>
    <t>Tiền các ngày lễ tết và chi khác</t>
  </si>
  <si>
    <t>2.3</t>
  </si>
  <si>
    <t>2.4</t>
  </si>
  <si>
    <t>Hoạt động hội đồng xét sáng kiến kinh nghiệm cấp cơ sở</t>
  </si>
  <si>
    <t>Tiền tết 5 người ( 01 trưởng x 5 triệu; 01 phó x 4,5 triệu; 3 x 4 triệu )</t>
  </si>
  <si>
    <t>Tết tỉnh  (02 trưởng; 6 phó)</t>
  </si>
  <si>
    <t>Kinh phí đi tham quan học tập kinh nghiệm (5 đ/c x 2 triệu)</t>
  </si>
  <si>
    <t>Hội nạn nhân chất độc da cam</t>
  </si>
  <si>
    <t>Phòng Tài nguyên MT</t>
  </si>
  <si>
    <t>Phòng Kinh tế</t>
  </si>
  <si>
    <t>* CN-TTCN</t>
  </si>
  <si>
    <t>* Thương mại - Dịch vụ</t>
  </si>
  <si>
    <t>Kiểm tra thị trường vật tư nông nghiệp, thú y</t>
  </si>
  <si>
    <t>X</t>
  </si>
  <si>
    <t>KINH PHÍ CẢI CÁCH TIỀN LƯƠNG</t>
  </si>
  <si>
    <t>XI</t>
  </si>
  <si>
    <t>CHI KHÁC NGÂN SÁCH</t>
  </si>
  <si>
    <t>XII</t>
  </si>
  <si>
    <t>Kinh phí chúc mừng các đơn vị, tổ chức nhân ngày thành lập, ngày kỷ niệm</t>
  </si>
  <si>
    <t>Tiền lương, phụ cấp CV, BL, TNVK (06 đ/c)</t>
  </si>
  <si>
    <t>Thu tiền cho thuê mặt đất mặt nước</t>
  </si>
  <si>
    <t>Thu khác ngân sách</t>
  </si>
  <si>
    <t>Bảo hiểm xe ô tô, bảo hiểm dân sự, phí kiểm định, phí bảo trì đường bộ</t>
  </si>
  <si>
    <t>Sửa chữa máy tính thư viện</t>
  </si>
  <si>
    <t>Thu ngoài quốc doanh</t>
  </si>
  <si>
    <t>Tiền các ngày lễ ( 30/4-1/5; 02/9/; tết dương lịch; ngày thành lập ngành, ngày giỗ tổ HV: 5 người x 300 nghìn đồng/ người x 5 ngày)</t>
  </si>
  <si>
    <t xml:space="preserve"> - Thu phạt an toàn giao thông</t>
  </si>
  <si>
    <t xml:space="preserve"> - Thu tiền đền bù</t>
  </si>
  <si>
    <t xml:space="preserve"> - Thu khác </t>
  </si>
  <si>
    <t>Thu viện trợ</t>
  </si>
  <si>
    <t>Lĩnh vực gia đình</t>
  </si>
  <si>
    <t>Phòng Tài chính - Kế hoạch</t>
  </si>
  <si>
    <t>Kinh phí hoạt động mosep</t>
  </si>
  <si>
    <t>Kinh phí chi trả cước mạng tabmis</t>
  </si>
  <si>
    <t>Chi từ nguồn thu Đảng phí</t>
  </si>
  <si>
    <t>Phụ cấp công vụ, đảng đoàn thể</t>
  </si>
  <si>
    <t>Các khoản đóng góp</t>
  </si>
  <si>
    <t>CHI SỰ NGHIỆP Y TẾ</t>
  </si>
  <si>
    <t>Kinh phí về khiếu nại, tố cáo</t>
  </si>
  <si>
    <t>Kinh phí đăng thông tin tuyên truyền trên các báo</t>
  </si>
  <si>
    <t>Kinh phí đi tham quan học tập kinh nghiệm: (5đ/c x 2 triệu đồng)</t>
  </si>
  <si>
    <t xml:space="preserve">Kinh phí hoạt động thanh niên và hội xã hội </t>
  </si>
  <si>
    <t>Chúc tết tỉnh (01 trưởng; 02 phó)</t>
  </si>
  <si>
    <t>Các khoản đóng góp 1% BHTN lương hợp đồng</t>
  </si>
  <si>
    <t>Tiền lương, phụ cấp CV, BL, TNVK  (3đ/c)</t>
  </si>
  <si>
    <t>Hoạt động TDTT, VHVN theo chỉ đạo của Tỉnh hội</t>
  </si>
  <si>
    <t>Tiền tết CBCNV ( 01trưởng x 5 triệu; 01 phó x 4,5 tr; 01 UVTT x 4 triệu  đ)</t>
  </si>
  <si>
    <t>Hỗ trợ xăng xe đ/c Tuấn TVUB 1 triệu đồng/tháng x 12T</t>
  </si>
  <si>
    <t>Hỗ trợ xăng xe đ/c Chương TVUB 1 triệu đồng/tháng x 12T</t>
  </si>
  <si>
    <t>Nguồn cải cách tiền lương</t>
  </si>
  <si>
    <t>Kinh phí đi học tập kinh nghiệm (8 đ/c x 2 triệu)</t>
  </si>
  <si>
    <t xml:space="preserve"> Hoạt động nông, lâm nghiệp, thủy lợi</t>
  </si>
  <si>
    <t xml:space="preserve"> Hoạt động giao thông</t>
  </si>
  <si>
    <t>TRƯỞNG PHÒNG</t>
  </si>
  <si>
    <t xml:space="preserve">                   Tôn Quang Ngọc</t>
  </si>
  <si>
    <t>XIX</t>
  </si>
  <si>
    <t>KINH PHÍ HỖ TRỢ NH CS</t>
  </si>
  <si>
    <t>Kinh phí phòng chống cháy rừng</t>
  </si>
  <si>
    <t>Kinh phí phòng dịch</t>
  </si>
  <si>
    <t xml:space="preserve"> - Các khoản thu phân chia theo tỷ lệ %</t>
  </si>
  <si>
    <t>Bổ sung từ ngân sách cấp tỉnh</t>
  </si>
  <si>
    <t>Trung tâm y tế dự phòng</t>
  </si>
  <si>
    <t>Phòng Tài chính - KH</t>
  </si>
  <si>
    <t xml:space="preserve">Hội đồng Thi đua khen thưởng </t>
  </si>
  <si>
    <t>Ban Vì sự tiến bộ Phụ nữ</t>
  </si>
  <si>
    <t>Sự nghiệp AN - QP</t>
  </si>
  <si>
    <t>Dự phòng ngân sách</t>
  </si>
  <si>
    <t>Kinh phí hoạt động website thị xã + phụ cấp BBT cổng TTDT theo QĐ mới</t>
  </si>
  <si>
    <t xml:space="preserve"> - Thuế giá trị gia tăng, TNDN</t>
  </si>
  <si>
    <t>PC cụng vụ theo NĐ 57/2011/NĐ-CP</t>
  </si>
  <si>
    <t>CHI QUẢN LÝ HC, ĐẢNG, ĐOÀN THỂ</t>
  </si>
  <si>
    <t>Văn phòng UBND thị xã</t>
  </si>
  <si>
    <t>Phụ cấp công vụ</t>
  </si>
  <si>
    <t>Kinh phí chúc tết (Tỉnh và cán bộ lão thành)</t>
  </si>
  <si>
    <t>Kinh phí triển khai các đề án sản xuất nông nghiệp</t>
  </si>
  <si>
    <t>Kinh phí Ban chỉ đạo cải cách tư pháp</t>
  </si>
  <si>
    <t xml:space="preserve">Văn phòng Hội đồng nhân dân </t>
  </si>
  <si>
    <t>Chi đầu tư phát triển</t>
  </si>
  <si>
    <t>Hỗ trợ thành lập mới Hợp tác xã</t>
  </si>
  <si>
    <t>VP Đăng ký quyền sử dụng đất</t>
  </si>
  <si>
    <t>SN Phát thanh - TH</t>
  </si>
  <si>
    <t>Tiền xăng xe ô tô</t>
  </si>
  <si>
    <t>Hội Người mù</t>
  </si>
  <si>
    <t>Hội Cựu giáo chức</t>
  </si>
  <si>
    <t>Hội Cựu Thanh niên xung phong</t>
  </si>
  <si>
    <t>Hội Đông y</t>
  </si>
  <si>
    <t>Tiền các ngày lễ ( 30/4-1/5; 02/9/; tết dương lịch; ngày thành lập ngành, ngày giổ tổ HV 9 người x 300 nghìn đồng/ người x 5 ngày)</t>
  </si>
  <si>
    <t>Tiền lương, phụ cấp CV, BL, TNVK,TN,KV,PC 20%  QĐ 35/UBND tỉnh  (8 đ/c)</t>
  </si>
  <si>
    <t>Tiền các ngày lễ (tết dương, 30/4-1/5; 02/9; thành lập ngành, ngày giỗ tổ HV: 5 ngày x 300 nghìn đồng/ ngày x 8 người)</t>
  </si>
  <si>
    <t>Dự toán chi  bảo vệ thực vật</t>
  </si>
  <si>
    <t>Chi thường xuyên</t>
  </si>
  <si>
    <t>SN kinh tế</t>
  </si>
  <si>
    <t>Sự nghiệp Giáo dục - ĐT</t>
  </si>
  <si>
    <t>Đảm bảo xã hội</t>
  </si>
  <si>
    <t>Chi khác</t>
  </si>
  <si>
    <t>Chi mua sách chữ BRAILE</t>
  </si>
  <si>
    <t>Kinh phí đi tham quan học tập kinh nghiệm: (3 đ/c x 2 triệu)</t>
  </si>
  <si>
    <t>Kinh phí hoạt động doanh nghiệp; Kinh tế tập thể HTX, hộ kinh doanh cá thể</t>
  </si>
  <si>
    <t>Thuế sử dụng đất phi nông nghiệp</t>
  </si>
  <si>
    <t>Tiền cấp quyền sử dụng đất</t>
  </si>
  <si>
    <t>Kinh phí hoạt động của BCD ứng dụng CNTT</t>
  </si>
  <si>
    <t>Kinh phí KSTTHC</t>
  </si>
  <si>
    <t>Bảo hiểm y tế Cựu chiến binh (NĐ 150 và 290)</t>
  </si>
  <si>
    <t>Chế độ thanh niên xung phong</t>
  </si>
  <si>
    <t>Trợ cấp thường xuyên</t>
  </si>
  <si>
    <t>Bảo hiểm y tế</t>
  </si>
  <si>
    <t>Sự nghiệp an ninh</t>
  </si>
  <si>
    <t>Phân bổ thêm: Phụ cấp tổ bảo vệ dân số</t>
  </si>
  <si>
    <t>Trưởng ban</t>
  </si>
  <si>
    <t>Ban viên</t>
  </si>
  <si>
    <t>Sự nghiệp quốc phòng</t>
  </si>
  <si>
    <t>Phụ cấp dân quân tự vệ</t>
  </si>
  <si>
    <t xml:space="preserve">Sự nghiệp kinh tế </t>
  </si>
  <si>
    <t>Hỗ trợ xăng xe  đ/c Chủ tịch hội (1 triệu đồng/tháng x 12T)</t>
  </si>
  <si>
    <t>Tổ chức nói chuyện truyền thống cho thanh, thiếu niên, học sinh vào dịp 30/4 và 22/12</t>
  </si>
  <si>
    <t>Sửa chữa linh kiện, bảo dưỡng xe ô tô</t>
  </si>
  <si>
    <t>Hỗ trợ hoạt động Ban đoàn kết công giáo</t>
  </si>
  <si>
    <t>Hỗ trợ hoạt động Ban đại diện phật giáo</t>
  </si>
  <si>
    <t>Tiền tết tỉnh  ( 01 trưởng; 04 phó)</t>
  </si>
  <si>
    <t>Hội Liên hiệp Phụ nữ</t>
  </si>
  <si>
    <t>Hội Nông dân</t>
  </si>
  <si>
    <t>Hội Cựu chiến binh</t>
  </si>
  <si>
    <t>Ban vì sự tiến bộ Phụ nữ</t>
  </si>
  <si>
    <t>Hội Người cao tuổi</t>
  </si>
  <si>
    <t>Thị đội Hồng Lĩnh</t>
  </si>
  <si>
    <t>Tổng chi</t>
  </si>
  <si>
    <t>Phòng Văn Hóa - Thể Thao</t>
  </si>
  <si>
    <t>Lĩnh vực Du Lịch</t>
  </si>
  <si>
    <t>NS
TW</t>
  </si>
  <si>
    <t>Tiền lương, phụ cấp CV, BL, TNVK (9đ/c)</t>
  </si>
  <si>
    <t>Chi phí ban quản lý dự án ngân hàng bò</t>
  </si>
  <si>
    <t>Kinh phí in phôi làm đăng ký kinh doanh hộ kinh doanh cá thể</t>
  </si>
  <si>
    <t xml:space="preserve">  + Tµi nguyªn kho¸ng s¶n</t>
  </si>
  <si>
    <t>Thu cấp quyền KTKS</t>
  </si>
  <si>
    <t>Tổng kinh phí phòng dịch</t>
  </si>
  <si>
    <t>Kinh phí khám sức khỏe thực hiện NVQS 2017</t>
  </si>
  <si>
    <t>Kinh phí đoàn kiểm tra liên ngành về y, dược, kinh doanh mỹ phẩm</t>
  </si>
  <si>
    <t>Phụ cấp cấp ủy</t>
  </si>
  <si>
    <t>Kinh phí thanh tra nhân dân</t>
  </si>
  <si>
    <t>Phụ cấp UBKT phường, xã</t>
  </si>
  <si>
    <t xml:space="preserve"> Các khoản thu cân đối NSĐP</t>
  </si>
  <si>
    <t xml:space="preserve">  Các khoản huy động đóp góp XDCS hạ tầng</t>
  </si>
  <si>
    <t xml:space="preserve">  Các khoản thu khác</t>
  </si>
  <si>
    <t>Bảo hiểm y tế người nghèo</t>
  </si>
  <si>
    <t>VI</t>
  </si>
  <si>
    <t>Kinh phí đi chúc mừng các cơ quan, các đoàn thể, các ban, ngành nhân kỷ niệm các ngày truyền thống</t>
  </si>
  <si>
    <t>Dự toán chi tiết chuyên môn thú y</t>
  </si>
  <si>
    <t>Đội quản lý trật tự đô thị</t>
  </si>
  <si>
    <t>Văn phòng Đăng ký quyền sử dụng đất</t>
  </si>
  <si>
    <t>CHI SN GIÁO DỤC VÀ ĐÀO TẠO</t>
  </si>
  <si>
    <t>V</t>
  </si>
  <si>
    <t>CHI ĐẢM BẢO XÃ HỘI</t>
  </si>
  <si>
    <t>Phòng LĐ -TBXH</t>
  </si>
  <si>
    <t>Biên tập thông tin nội bộ (06 số/năm )</t>
  </si>
  <si>
    <t>Kinh phí chúc mừng Ngày báo chí, phát thanh truyền hình</t>
  </si>
  <si>
    <t>Hỗ trợ các hoạt động phòng chống tham nhũng</t>
  </si>
  <si>
    <t>Kinh phí phục vụ các cuộc khiếu kiện hành chính</t>
  </si>
  <si>
    <t>Ghi chú</t>
  </si>
  <si>
    <t>Tû lÖ ph©n chia</t>
  </si>
  <si>
    <t>Kinh phí đi tham quan HTKN (3 đ/c x 2 triệu)</t>
  </si>
  <si>
    <t xml:space="preserve">Kiến thiết thị chính </t>
  </si>
  <si>
    <t xml:space="preserve">Phó ban, </t>
  </si>
  <si>
    <t>Tổ trưởng</t>
  </si>
  <si>
    <t>KP hội nghị sơ kết tổng kết hoạt động DQTV</t>
  </si>
  <si>
    <t xml:space="preserve">          Tổng cộng mục 2 - 6</t>
  </si>
  <si>
    <t>Phân bổ (6% từ mục 2 - 6) trừ mục ĐB XH</t>
  </si>
  <si>
    <t xml:space="preserve">                                                                                    CHỦ TỊCH</t>
  </si>
  <si>
    <t>Tổng số</t>
  </si>
  <si>
    <t>Văn phòng Thị uỷ</t>
  </si>
  <si>
    <t>Phòng Tư pháp</t>
  </si>
  <si>
    <t>Trung tâm Bồi dưỡng chính trị</t>
  </si>
  <si>
    <t>Thị đoàn</t>
  </si>
  <si>
    <t>Phòng Giáo dục - ĐT</t>
  </si>
  <si>
    <t>Kinh phí đi tham quan học tập kinh nghiệm: 3 đ/c x 2 triệu đồng/ người</t>
  </si>
  <si>
    <t>Tuyên truyền mừng Đảng, mừng Xuân kỷ niệm ngày thành lập Đảng:  
   - băng rôn 20 cái x 650.000 đ/cái = 13 triệu đồng.
   - Dây thừng treo băng: 300.000 đ/băng x 20 = 6 triệu</t>
  </si>
  <si>
    <t>Kinh phí tuyên truyền quảng bá về thị xã Hồng Lĩnh</t>
  </si>
  <si>
    <t xml:space="preserve">        Lưu ý: Trong việc Quản lý điều hành ngân sách năm 2018:</t>
  </si>
  <si>
    <t xml:space="preserve">       1. Căn cứ Thông tư số 71/2017/TT-BTC ngày 13/7/2017 của Bộ Tài chính về việc Hướng dẫn xây dựng dự toán năm 2018, các nhiêm vụ chi ngân sách năm 2018 không được bố trí cao hơn dự toán bố trí năm 2017.</t>
  </si>
  <si>
    <r>
      <rPr>
        <b/>
        <sz val="12"/>
        <rFont val="Times New Roman"/>
        <family val="1"/>
      </rPr>
      <t xml:space="preserve"> 
       </t>
    </r>
    <r>
      <rPr>
        <sz val="12"/>
        <rFont val="Times New Roman"/>
        <family val="1"/>
      </rPr>
      <t xml:space="preserve"> 2. D</t>
    </r>
    <r>
      <rPr>
        <sz val="13"/>
        <rFont val="Times New Roman"/>
        <family val="1"/>
      </rPr>
      <t>ự kiến nguồn thu ngân sách năm 2018 gặp rất nhiều khó khăn để đảm bảo cân đối thu, chi ngân sách của Thị xã, kinh phí chi thường xuyên (sau khi đã trừ tiết kiệm chi theo quy định) được cấp phát hàng quý 70 -80% phần kinh phí đơn vị được sử dụng. Đến quý IV dự kiến nguồn thu ngân sách đảm bảo đạt kế hoạch đề ra thì sẽ cấp phát  kinh phí theo dự toán được duyệt đầu năm cho các đơn vị đẩy đủ kịp thời đúng quy định.</t>
    </r>
  </si>
  <si>
    <t>Phòng thanh tra</t>
  </si>
  <si>
    <t>Kinh phí thanh tra</t>
  </si>
  <si>
    <t>Trang phục tại thông tư liên tịch 150/2007</t>
  </si>
  <si>
    <t xml:space="preserve">Dân số </t>
  </si>
  <si>
    <t>Công an viên</t>
  </si>
  <si>
    <t xml:space="preserve"> + Thu doanh nghiÖp HTX</t>
  </si>
  <si>
    <t>Tiền lương</t>
  </si>
  <si>
    <t>Tiền các ngày lễ (tết dương lịch; 30/4-1/5; 2/9; ngày thành lập ngành, ngày giỗ tỗ Hùng Vương 27 người x 300 nghìn đ/người x 5 ngày )</t>
  </si>
  <si>
    <t>Kinh phí đi học tập kinh nghiệm: 2 triệu đồng/ người (27 đ/c x 2 triệu)</t>
  </si>
  <si>
    <t>Hoạt động đối ngoại, tiếp khách của Thường trực, Thường vụ đi công tác</t>
  </si>
  <si>
    <t>Hỗ trợ xăng xe cho BTV Thị uỷ ( 06 đ/c x 2.000.000đ x 12 tháng) và đ/c CVP x 1.000.000 đ/tháng x 12T</t>
  </si>
  <si>
    <t>Kinh phí họp HĐND; phiên họp (giữa năm, cuối năm, 10 phiên họp thường trực và các cuộc làm việc đốn đốc kiểm tra)</t>
  </si>
  <si>
    <t>Tiếp xúc cử tri ( Hỗ trợ phường, xã trước và sau 56 điểm; tổ đại biểu HĐND thị xã tổ chức TXCT cho đại biểu: 12 điểm) x 1 triệu đồng/ điểm</t>
  </si>
  <si>
    <t>Kinh phí tết 28 đại biểu x 1 triệu đồng/đại biểu</t>
  </si>
  <si>
    <t>Kinh phí hoạt động ban KTXH (thẩm tra 02 kỳ họp, giám sát, khảo sát, giải quyết ý kiến cử tri, các cuộc làm việc ngành)</t>
  </si>
  <si>
    <t>Kinh phí thẩm tra đã có trong kinh phí kỳ họp HĐND</t>
  </si>
  <si>
    <t>Kinh phí hoạt động ban pháp chế (thẩm tra 02 kỳ họp, giám sát, khảo sát, giải quyết ý kiến cử tri, các cuộc làm việc ngành)</t>
  </si>
  <si>
    <t xml:space="preserve">Chi tiếp công dân </t>
  </si>
  <si>
    <t xml:space="preserve">Hỗ trợ xăng xe 2 đ/c PCT x 2 triệu đồng/ tháng x 12 tháng </t>
  </si>
  <si>
    <t>Hỗ trợ xăng xe cho TVTU, PCT (03đ/c x 2 triệu đồng/tháng x 12T)</t>
  </si>
  <si>
    <t>Dây thép buộc</t>
  </si>
  <si>
    <t xml:space="preserve"> Thu từ cá nhân sản xuất KDHH dịch vụ</t>
  </si>
  <si>
    <t>Lệ phí trước bạ</t>
  </si>
  <si>
    <t xml:space="preserve">   + PhÝ b¶o vÖ MT ®èi víi n­íc th¶I
 sinh ho¹t</t>
  </si>
  <si>
    <t xml:space="preserve">   + C¸c lo¹i phÝ kh¸c</t>
  </si>
  <si>
    <t>* §Êt theo ®Ò ¸n ph¸t triÓn quü ®Êt</t>
  </si>
  <si>
    <t xml:space="preserve"> + Chi phÝ ®Çu t­ h¹ tÇng</t>
  </si>
  <si>
    <t xml:space="preserve"> + Sè cßn l¹i</t>
  </si>
  <si>
    <t>Quü ®Êt</t>
  </si>
  <si>
    <t>Quü ph¸t triÓn ®Êt</t>
  </si>
  <si>
    <t>NSTW</t>
  </si>
  <si>
    <t>TiÒn thuª ®Êt</t>
  </si>
  <si>
    <t>LÖ phÝ tr­íc b¹</t>
  </si>
  <si>
    <t>Tiền lương, phụ cấp</t>
  </si>
  <si>
    <t>Phụ cấp người sáng dẫn người mù</t>
  </si>
  <si>
    <t>Hội Chữ Thập đỏ</t>
  </si>
  <si>
    <t>Hội Liên hiệp hội KHKT thị xã</t>
  </si>
  <si>
    <t>Hội Khuyến Học</t>
  </si>
  <si>
    <t>Hội bảo trợ người tàn tật</t>
  </si>
  <si>
    <t>IX</t>
  </si>
  <si>
    <t>CHI AN NINH QUỐC PHÒNG</t>
  </si>
  <si>
    <t>Thị đội</t>
  </si>
  <si>
    <t>Hội nghị Tổng kết QP- AN</t>
  </si>
  <si>
    <t>Hỗ trợ xăng xe đ/c Khanh TVUB 1 triệu đồng/tháng x 12T</t>
  </si>
  <si>
    <t>Hỗ trợ xăng xe đ/c Vinh TVUB 1 triệu đồng/tháng x 12T</t>
  </si>
  <si>
    <t>Hỗ trợ xăng xe đ/c Sơn TVUB 1 triệu đồng/tháng x 12T</t>
  </si>
  <si>
    <t>Hỗ trợ xăng xe đ/c Hùng TVUB 1 triệu đồng/tháng x 12T</t>
  </si>
  <si>
    <t>Hỗ trợ xăng xe đ/c Đức TVUB 1 triệu đồng/tháng x 12T</t>
  </si>
  <si>
    <t>Hỗ trợ xăng xe đ/c Danh TVUB 1 triệu đồng/tháng x 12T</t>
  </si>
  <si>
    <t xml:space="preserve">                                                                                               TM. UỶ BAN NHÂN DÂN</t>
  </si>
  <si>
    <t>Tiền các ngày lễ (tết dương lịch; 30/4-1/5; 2/9; ngày thành lập ngành, ngày giỗ tổ HV 3 người x 300 nghìn đ/ngưòi  x 4 ngày )</t>
  </si>
  <si>
    <t>Phụ cấp rà soát thủ tục hành chính 3 người *20.000 nghìn/người/ngày*22 ngày *12 tháng</t>
  </si>
  <si>
    <t>Mua phần mềm chuyên ngành</t>
  </si>
  <si>
    <t>Kinh phí thẩm định đo vẽ bản đồ địa chính, thẩm định cấp GCNQSD đất hàng năm 
(2 lần )</t>
  </si>
  <si>
    <t>Tiền tết ( 02 x 6 triệu đồng; 02 x 4,5 triệu đồng)</t>
  </si>
  <si>
    <t>Phụ cấp uỷ viên UBMT không hưởng lương ( 22 người, trong đó có 5 đ/c đã thuộc đối tượng hưởng lương; 17 đ/c * 120.000đ/tháng *12 tháng)</t>
  </si>
  <si>
    <t>Số người</t>
  </si>
  <si>
    <t>ĐM, hệ số</t>
  </si>
  <si>
    <t>Chi QL nhà nước, Đảng, đoàn thể</t>
  </si>
  <si>
    <t>Quỹ lương</t>
  </si>
  <si>
    <t xml:space="preserve"> Hệ số lương, phụ cấp </t>
  </si>
  <si>
    <t xml:space="preserve"> Hệ số các khoản đóng góp</t>
  </si>
  <si>
    <t>Phân bổ thêm</t>
  </si>
  <si>
    <t>Phụ cấp Đại biểu HĐND</t>
  </si>
  <si>
    <t>Văn phòng Điều phối XDNTM</t>
  </si>
  <si>
    <t>Tr. Đó: Chi đầu tư XDCB</t>
  </si>
  <si>
    <t>Vốn trong nước</t>
  </si>
  <si>
    <t>Khoa học CN</t>
  </si>
  <si>
    <t>Tiền tết 03 người ( 01 trưởng x 5 triệu; 01 phó x 4,5 triệu; 01 x 4 triệu )</t>
  </si>
  <si>
    <t>Tiền các ngày lễ (tết dương lịch; 30/4-1/5; 2/9; ngày thành lập ngành, ngày giỗ tổ HV: 3 người x 300 nghìn đ/ngưòi  x 5 ngày )</t>
  </si>
  <si>
    <t>Kinh phí đi tham quan HTKN 3 đ/c x 2 triệu</t>
  </si>
  <si>
    <t>Ng©n s¸ch 
ThÞ x·</t>
  </si>
  <si>
    <t>Kinh phí hoạt động của đoàn chỉ đạo của BTV Thị uỷ tại cơ sở (6 đoàn phường, xã x 15 tr.đồng/ đoàn; 2 đoàn cơ quan đơn vị x 10tr đồng/ đoàn)</t>
  </si>
  <si>
    <t>Tiền tết 02 người ( 01 trưởng x 5 triệu; 01 x4 triệu )</t>
  </si>
  <si>
    <t>Phụ cấp khu vực CB hưu xã</t>
  </si>
  <si>
    <t>Bảo hiểm y tế hưu xã</t>
  </si>
  <si>
    <t xml:space="preserve">Chương trình thông tin lưu động đi TT cơ sở </t>
  </si>
  <si>
    <t>Mua bổ sung sách thư viện</t>
  </si>
  <si>
    <t>Kinh phí tổ chức ngày quốc tế người cao tuổi 1/10</t>
  </si>
  <si>
    <t>Hội doanh nghiệp</t>
  </si>
  <si>
    <t>Kinh phí chi thông tin, tuyên truyền các hoạt động HĐND</t>
  </si>
  <si>
    <t>Kinh phí đi học tập kinh nghiệm (14 đ/c x 2 tr/đc)</t>
  </si>
  <si>
    <t>Kinh phí trồng vườn hoa sân UBND thị xã + trang trí tết</t>
  </si>
  <si>
    <t>* Thu t¹i ph­êng, x·</t>
  </si>
  <si>
    <t>Tập huấn đoàn - đội địa bàn dân cư, phòng chống đuối nước cho trẻ em</t>
  </si>
  <si>
    <t xml:space="preserve"> Thu khác tại xã</t>
  </si>
  <si>
    <t>Chi hành chính :</t>
  </si>
  <si>
    <t>Kinh phí tuyên truyền các ngày lễ</t>
  </si>
  <si>
    <t>KP đón tiếp, thăm hỏi, chúc mừng các chức sắc tôn giáo lão thành cách mạng theo QĐ 130/2009/QĐ - TTg</t>
  </si>
  <si>
    <t>Thu cấp quyền khai thác khoáng sản</t>
  </si>
  <si>
    <t>7. PhÝ vµ lÖ phÝ</t>
  </si>
  <si>
    <t>8. TiÒn cÊp quyÒn sö dông ®Êt</t>
  </si>
  <si>
    <t>9. TiÒn thuª ®Êt</t>
  </si>
  <si>
    <t>10. Thu kh¸c ng©n s¸ch ThÞ x·</t>
  </si>
  <si>
    <t>thÞ x· Hång lÜnh</t>
  </si>
  <si>
    <t>Uû ban nh©n d©n</t>
  </si>
  <si>
    <t>So s¸nh</t>
  </si>
  <si>
    <t>¦TH/DT</t>
  </si>
  <si>
    <t>DT/DT</t>
  </si>
  <si>
    <t>DT/¦TH</t>
  </si>
  <si>
    <t>Ph­êng B¾c Hång</t>
  </si>
  <si>
    <t>X· ThuËn Léc</t>
  </si>
  <si>
    <t>Tổng cộng</t>
  </si>
  <si>
    <t>Tên đơn vị</t>
  </si>
  <si>
    <t>Dự toán đơn vị trình</t>
  </si>
  <si>
    <t>Tiền tết CBCNV 27 đ/c (đ/c TT trực: 02 x 10 tr đ/người; 4 đ/c TV x 7 triệu/đc; 06 CHTU x 5 tr đ/người; 4 phó x 4,5 tr đ/người ; 11 đ/c x 4 tr; 01 bảo vệ x 1 triệu )</t>
  </si>
  <si>
    <t>Giải bóng đá thiếu niên nhi đồng</t>
  </si>
  <si>
    <t>Kinh phí hỗ trợ xăng xe cho đ/c TV</t>
  </si>
  <si>
    <t>Kinh phí tập huấn, hội họp của UBND thị xã</t>
  </si>
  <si>
    <t>Kinh phí tiếp dân định kỳ và đột xuất</t>
  </si>
  <si>
    <t>ThuÕ vËn t¶I nhµ ë t­ nh©n</t>
  </si>
  <si>
    <t>Kinh phí chúc tết Đảng viên cao tuổi đang ốm đau, thân nhân thờ cũng cán bộ tiền khởi nghĩa, bí thư, thôn, tổ trưởng TDP</t>
  </si>
  <si>
    <t>Giao thu</t>
  </si>
  <si>
    <t>Giao chi</t>
  </si>
  <si>
    <t>Chênh lệch thu - chi (trừ vào dự toán)</t>
  </si>
  <si>
    <t>* Khoa học -Công nghệ</t>
  </si>
  <si>
    <t>* Sự nghiệp NN</t>
  </si>
  <si>
    <t>Kinh phí thăm viếng đại biểu</t>
  </si>
  <si>
    <t>Kinh phí đi tham quan học tập, kinh nghiệm: 6 người x 2 tr đồng/người</t>
  </si>
  <si>
    <t>Tiền các ngày lễ ( 30/4-1/5; 02/9/; tết dương lịch; ngày thành lập ngành, ngày giổ tổ HV: 3 người x 300 nghìn đồng/ người x 5 ngày)</t>
  </si>
  <si>
    <t>UBND THỊ XÃ HỒNG LĨNH</t>
  </si>
  <si>
    <t>Thuế sử dụng đất Phi NN</t>
  </si>
  <si>
    <t xml:space="preserve">Kinh phí hoạt động Ban tôn giáo </t>
  </si>
  <si>
    <t>Phòng Y tế</t>
  </si>
  <si>
    <t>Các khoản đóng góp 23%( 18XH,3YT,2CĐ)</t>
  </si>
  <si>
    <t>Công tác quy hoạch cán bộ, duyệt huy hiệu Đảng, thẩm tra, xét phát triển đảng viên</t>
  </si>
  <si>
    <t>Hỗ trợ tiền điện, nước của cơ quan khối dân</t>
  </si>
  <si>
    <t>KP khám chữa bệnh sức khỏe định kỳ năm 2017</t>
  </si>
  <si>
    <t xml:space="preserve">Kinh phí thủy lợi phí </t>
  </si>
  <si>
    <t>Kinh phí thủy lợi phí</t>
  </si>
  <si>
    <t xml:space="preserve"> Thị xã giao</t>
  </si>
  <si>
    <t>Tỉnh giao</t>
  </si>
  <si>
    <t>Tập huấn công tác Đoàn trường học</t>
  </si>
  <si>
    <t xml:space="preserve">Tập huấn Đội trường học </t>
  </si>
  <si>
    <t>Lương hợp đồng bảo vệ x 2 triệu đ/tháng *12 tháng</t>
  </si>
  <si>
    <t xml:space="preserve">Kinh phí kiến thiết thị chính </t>
  </si>
  <si>
    <t>2.1</t>
  </si>
  <si>
    <t>Kinh phí Ban vận động Dân vận khéo</t>
  </si>
  <si>
    <t xml:space="preserve">Hội Đồng thi đua khen thưởng </t>
  </si>
  <si>
    <t>CHI SỰ NGHIỆP KINH TẾ</t>
  </si>
  <si>
    <t xml:space="preserve">Sửa chữa  2 xe ô tô </t>
  </si>
  <si>
    <t>Kinh phí hoạt động đối ngoại của lãnh đạo UB</t>
  </si>
  <si>
    <t>* Cán bộ trong biên chế</t>
  </si>
  <si>
    <t>Kinh phí thường xuyên CBCC</t>
  </si>
  <si>
    <t>Giải tenis</t>
  </si>
  <si>
    <t>các giải Tinh: (10 giải)</t>
  </si>
  <si>
    <t>Giải đua thuyền</t>
  </si>
  <si>
    <t>Giải bóng chuyền nữ</t>
  </si>
  <si>
    <t xml:space="preserve"> + DN, HTX</t>
  </si>
  <si>
    <t xml:space="preserve"> + Hộ kinh doanh cá thể</t>
  </si>
  <si>
    <t>Phụ cấp đặc thù cơ yếu ( 25% )</t>
  </si>
  <si>
    <t>Ban chỉ đạo xây dựng quy chế dân chủ cơ sở</t>
  </si>
  <si>
    <t>Nguồn kinh phí thường xuyên</t>
  </si>
  <si>
    <t>Kinh phí lấy mẫu đi xét nghiệm khi có dịch</t>
  </si>
  <si>
    <t>Giao thu, giao chi xử phạt vi phạm TT đô thị</t>
  </si>
  <si>
    <t>Tập huấn, tuyên truyền về công tác bảo vệ môi trường trên địa bàn 6 phường, xã (đối tượng tham gia bao gồm: Thủ trưởng các cơ quan, đơn vị, tổ trưởng  tổ dân phố, xóm trưởng, chủ các cơ sở sản xuất, kinh doanh trên địa bàn)</t>
  </si>
  <si>
    <t>8.1</t>
  </si>
  <si>
    <t>8.2</t>
  </si>
  <si>
    <t>Chi tiền các ngày lễ, tết</t>
  </si>
  <si>
    <t>9.1</t>
  </si>
  <si>
    <t xml:space="preserve"> Trong biên chế</t>
  </si>
  <si>
    <t>Tiền lương, phụ cấp CV, BL, TNVK (2 đ/c)</t>
  </si>
  <si>
    <t xml:space="preserve">  Cán bộ hợp đồng</t>
  </si>
  <si>
    <t>Tiền lương, phụ cấp CV, BL, TNVK (8 đ/c)</t>
  </si>
  <si>
    <t>9.2</t>
  </si>
  <si>
    <t>9.3</t>
  </si>
  <si>
    <t>9.3.1</t>
  </si>
  <si>
    <t xml:space="preserve">   Kinh phí các ngày lễ, tết và chi khác</t>
  </si>
  <si>
    <t>Tiền tết: 10 người ( 1 x 5 triệu; 1 x 4,5 triệu; 8 x 4 triệu)</t>
  </si>
  <si>
    <t>Tiền các ngày lễ ( 30/4-1/5; 02/9/; tết dương lịch; ngày thành lập ngành, ngày giỗ tổ HV 10 người x 300 nghìn đồng/ người x 5 ngày)</t>
  </si>
  <si>
    <t>Kinh phí đi tham quan học tập kinh nghiệm (10 đ/c x2 tr)</t>
  </si>
  <si>
    <t>9.3.2</t>
  </si>
  <si>
    <t xml:space="preserve">   Kinh phí phục vụ hoạt động sự nghiệp</t>
  </si>
  <si>
    <t>10.1</t>
  </si>
  <si>
    <t xml:space="preserve">  Trong biên chế</t>
  </si>
  <si>
    <t>Tiền lương, phụ cấp CV, BL, TNVK (1 đ/c)</t>
  </si>
  <si>
    <t>10.2</t>
  </si>
  <si>
    <t>10.3</t>
  </si>
  <si>
    <t xml:space="preserve">    Chi ngày lễ, tết và chi khác</t>
  </si>
  <si>
    <t>Tiền tết 5 người 01 trưởng * 5 triệu; 4 Cán bộ * 4 triệu</t>
  </si>
  <si>
    <t>Kinh phí tham quan học tâp kinh nghiệm 5 đ/c x 2 triệu</t>
  </si>
  <si>
    <t xml:space="preserve">   Chi hoạt động chuyên môn</t>
  </si>
  <si>
    <t>Tiền lương, phụ cấp CV, BL, TNVK (5 đ/c)</t>
  </si>
  <si>
    <t>Tiền tết 5 người ( 01 trưởng x 5 triệu; 4 x 4 triệu )</t>
  </si>
  <si>
    <t>Kinh phí tham quan học tập kinh nghiệm (5 đ/c x 2 triệu)</t>
  </si>
  <si>
    <t>DỰ PHÒNG NGÂN SÁCH</t>
  </si>
  <si>
    <t>XIII</t>
  </si>
  <si>
    <t xml:space="preserve">Kinh phí hội đồng đội </t>
  </si>
  <si>
    <t>Kinh phí tham quan HTKN: 5 đ/c x 2 triệu</t>
  </si>
  <si>
    <t xml:space="preserve"> + M«n bµi doanh nghiÖp HTX</t>
  </si>
  <si>
    <t xml:space="preserve">  + PhÝ b¶o vÖ MT ®èi víi KTKS</t>
  </si>
  <si>
    <t xml:space="preserve">  + C¸c lo¹i kh¸c</t>
  </si>
  <si>
    <t xml:space="preserve"> - LÖ phÝ x·, ph­êng (lo¹i kh¸c)</t>
  </si>
  <si>
    <t>Chî thu</t>
  </si>
  <si>
    <t>Định mức theo dân số</t>
  </si>
  <si>
    <t xml:space="preserve"> Kinh phí cụm dân cư</t>
  </si>
  <si>
    <t>Chế độ hưu xã</t>
  </si>
  <si>
    <t>Nguyên bí thư, chủ tịch xã</t>
  </si>
  <si>
    <t>Nguyên phó bí thư, PCT xã</t>
  </si>
  <si>
    <t>Các chức danh còn lại</t>
  </si>
  <si>
    <t>Kinh phí hỗ trợ đất trồng lúa</t>
  </si>
  <si>
    <t xml:space="preserve"> NGÂN SÁCH XÃ, PHƯỜNG</t>
  </si>
  <si>
    <t>Tiền các ngày lễ ( 30/4-1/5; 02/9/; tết dương lịch; ngày thành lập ngành, ngày giỗ tổ HV: 4 người x 300 nghìn đồng/ người x 5 ngày)</t>
  </si>
  <si>
    <t>Kinh phí trả dịch vụ tên miền, hosting cho hệ thống Website ,IO, một cửa điện tử</t>
  </si>
  <si>
    <t>§¬n vÞ tÝnh: ngh×n ®ång</t>
  </si>
  <si>
    <t>Kinh phí hỗ trợ phát triển đất trồng lúa</t>
  </si>
  <si>
    <t>Thu NS phường hưởng</t>
  </si>
  <si>
    <t>Tiền tết: 9 người  (01 trưởng x 5 triệu; 01 phó x 4,5 tr; 7 x 4 triệu)</t>
  </si>
  <si>
    <t>Chi tham quan  học tập kinh nghiệm: 9 x 2 triệu</t>
  </si>
  <si>
    <t>XIV</t>
  </si>
  <si>
    <t>TÊN ĐƠN VỊ</t>
  </si>
  <si>
    <t>Tổng thu NSNN trên địa bàn</t>
  </si>
  <si>
    <t>Thu NS xã được hưởng theo phân cấp</t>
  </si>
  <si>
    <t>Dự toán chi NS xã, phường</t>
  </si>
  <si>
    <t>Bổ sung cân đối</t>
  </si>
  <si>
    <t>Bổ sung có mục tiêu</t>
  </si>
  <si>
    <t>Trong đó vốn ngoài nước</t>
  </si>
  <si>
    <t>Bổ sung từ ngân sách thị xã cho các phường, xã</t>
  </si>
  <si>
    <t>Dự toán 2017</t>
  </si>
  <si>
    <t>Kinh phí chi trả chế độ Bảo trợ xã hội theo Nghị định 136/2013/NĐ-CP</t>
  </si>
  <si>
    <t>Lương bảo vệ 1 người * 1.500.000 đ*12 T</t>
  </si>
  <si>
    <t xml:space="preserve">   Chi các ngày lễ, tết</t>
  </si>
  <si>
    <t xml:space="preserve">    Chi mua sắm TSCĐ, sửa chữa tài sản</t>
  </si>
  <si>
    <t>Bão dưỡng cột ăng ten phát sóng</t>
  </si>
  <si>
    <t>Hội Bảo vệ quyền lợi người tiêu dùng</t>
  </si>
  <si>
    <t>Kinh phí hoạt động của CLB  nữ doanh nhân</t>
  </si>
  <si>
    <t>Chi ®Çu t­ ph¸t triÓn</t>
  </si>
  <si>
    <t>Chi th­êng xuyªn</t>
  </si>
  <si>
    <t>Chñ tÞch</t>
  </si>
  <si>
    <t xml:space="preserve"> - Thu chuyển nguồn, kết dư</t>
  </si>
  <si>
    <t xml:space="preserve"> *</t>
  </si>
  <si>
    <t xml:space="preserve"> - </t>
  </si>
  <si>
    <t xml:space="preserve"> -</t>
  </si>
  <si>
    <t>*</t>
  </si>
  <si>
    <t xml:space="preserve"> * </t>
  </si>
  <si>
    <t>ThÞ x· Hång lÜnh</t>
  </si>
  <si>
    <t>Tªn ®¬n vÞ</t>
  </si>
  <si>
    <t>Céng</t>
  </si>
  <si>
    <t>Trong ®ã</t>
  </si>
  <si>
    <t>Chi AN-QP</t>
  </si>
  <si>
    <t>Vèn trong n­íc</t>
  </si>
  <si>
    <t>Vèn ngoµi n­íc</t>
  </si>
  <si>
    <t>Gi¸o dôc §T vµ DN</t>
  </si>
  <si>
    <t>Khoa häc CN</t>
  </si>
  <si>
    <t>IV</t>
  </si>
  <si>
    <t>TM. Uû ban nh©n d©n</t>
  </si>
  <si>
    <t>C</t>
  </si>
  <si>
    <t>III</t>
  </si>
  <si>
    <t>Dự toán đầu năm</t>
  </si>
  <si>
    <t>Tết tỉnh (trưởng 1 triệu; 2 phó x 0,5 tr. đồng)</t>
  </si>
  <si>
    <t>Tiền tết tỉnh (01 trưởng; 4 phó)</t>
  </si>
  <si>
    <t>Tiền lương, phụ cấp CV, BL, TNVK (05 đ/c)</t>
  </si>
  <si>
    <t>Tiền tết 03 người (01 trưởng x 5 triệu; 01 phó x 4,5 triệu; 1 x4 triệu)</t>
  </si>
  <si>
    <t>Xã Thuận Lộc</t>
  </si>
  <si>
    <t>Kinh phí nộp hội phí hiệp hội đô thị 2018</t>
  </si>
  <si>
    <t>Hội Nạn nhân chất độc da cam</t>
  </si>
  <si>
    <t>Hội Luật gia</t>
  </si>
  <si>
    <t>Công an thị xã</t>
  </si>
  <si>
    <t>Chi khác ngân sách</t>
  </si>
  <si>
    <t>Bảo hiểm xã hội</t>
  </si>
  <si>
    <t>Quà tết 3 người ( 01 trưởng x 5 tr, 01 phó x 4,5 tr; 1x 4 tr )</t>
  </si>
  <si>
    <t>Sự nghiệp môi trường</t>
  </si>
  <si>
    <t>SỰ NGHIỆP MÔI TRƯỜNG</t>
  </si>
  <si>
    <t>Hoạt động trên lĩnh vực nông nghiệp</t>
  </si>
  <si>
    <t>Phòng TN- MT</t>
  </si>
  <si>
    <t>Kinh phí phục hoạt động lĩnh vực về đất Đai</t>
  </si>
  <si>
    <t>Kinh phí phục vụ hoạt động về lĩnh vực khoáng sản</t>
  </si>
  <si>
    <t>Kinh phí phục vụ hoạt động lĩnh vực về môi trường :</t>
  </si>
  <si>
    <t>Hoạt động lĩnh vực CN-TM-DV-KHCN</t>
  </si>
  <si>
    <t>SN môi trường</t>
  </si>
  <si>
    <t xml:space="preserve">Phòng Quản lý đô thị </t>
  </si>
  <si>
    <t>Hoạt động hội Doanh nghiệp</t>
  </si>
  <si>
    <t>Trung tâm hành chính công</t>
  </si>
  <si>
    <t>Chi sự nghiệp y tế - Dân số</t>
  </si>
  <si>
    <t>Kinh phí hỗ trợ đào tạo</t>
  </si>
  <si>
    <t>Quản lý HC, Đảng, đoàn  thể và các hội xã hội</t>
  </si>
  <si>
    <t>Kinh phí tham dự Hội thị sáng tạo KHKT</t>
  </si>
  <si>
    <t>KINH PHÍ HỖ TRỢ ĐÀO TẠO</t>
  </si>
  <si>
    <t>XVI</t>
  </si>
  <si>
    <t>Hỗ trợ vốn NHCS</t>
  </si>
  <si>
    <t xml:space="preserve"> - ThuÕ tiªu thô ®Æc biÖt 
(mÆt hµng kh¸c)</t>
  </si>
  <si>
    <t>Đội Quản lý trật tự đô thị</t>
  </si>
  <si>
    <t>Sự nghiệp Giáo dục - Đào tạo</t>
  </si>
  <si>
    <t>Phòng Lao động TB&amp;XH</t>
  </si>
  <si>
    <t>Hội Bảo trợ người tàn tật</t>
  </si>
  <si>
    <t>2.2</t>
  </si>
  <si>
    <t>Kinh phí đi tham quan HTKN (5 đ/c x 2 triệu)</t>
  </si>
  <si>
    <t xml:space="preserve">                   Đơn vị tính: Nghìn đồng</t>
  </si>
  <si>
    <t>Cán bộ không chuyên trách phường, xã theo QĐ 02/2016/QĐ-UBND</t>
  </si>
  <si>
    <t>Cán bộ không chuyên trách khối, xóm theo QĐ 02/2016/QĐ-UBND của UBND tỉnh</t>
  </si>
  <si>
    <t>Tiền tết CBCC 10 người ( 01 trưởng x 5 triệu; 01 phó  x 4,5 triệu; 8 x 4 triệu)</t>
  </si>
  <si>
    <t>In cờ phướn mừng Đảng mừng xuân: 150 cái x 130.000 đ/cái = 19,5 triệu đồng</t>
  </si>
  <si>
    <t>150 cái x 40.000 đ/cái</t>
  </si>
  <si>
    <t>Tuyên truyền ngày TLTX:  5 bằng x 12mx 25.000 đ/m</t>
  </si>
  <si>
    <t xml:space="preserve">Tuyên truyền ngày TTVN, ngày thành lập đoàn 26/3:
  - Giấy đề can: 6 băng x 15m x 25.000 đ/m.
 </t>
  </si>
  <si>
    <t>Tuyên truyền ngày 19/5; : 5 băng x 300.000 đ/băng</t>
  </si>
  <si>
    <t>Chi quà thăm bệnh nhân nằm viện trong dịp tết nguyên đán</t>
  </si>
  <si>
    <t xml:space="preserve">        3. Để đảm bảo được nguyên tắc cân đối thu, chi ngân sách theo quy định của Luật NS, cần:
          - Hạn chế tối đa bổ sung dự toán chi trong năm, trừ trường hợp phát sinh nhiệm vụ thực sự cần thiết và cấp bách được TTTU, TTHĐND, Lãnh đạo UBND thị xã phê duyệt.
          - Theo Luật ngân sách mới không được ứng ngân sách năm sau để thực hiện nhiệm vụ chi thường xuyên. Do đó, khi đơn vị phát sinh các nhiệm vụ được lãnh đạo phê duyệt, trước mắt các đơn vị lấy từ nguồn kinh phí đã được giao dự toán đầu năm để thực hiện. Đến hết 06 tháng đầu năm, tùy vào tình hình thực hiện thu ngân sách,  sẽ tham mưu phương án thực hiện, không để xẩy ra tình trạng bổ sung dự toán khi chưa xác định được nguồn, cụ thể:
              + Căn cứ thu ngân sách 06 tháng đầu năm và ước thực hiện cả năm, nếu có khả năng tăng thu,  sẽ tính toán và tham mưu bổ sung hợp lý trình TTTU, TTHĐND, UBND thị xã xem xét quyết định và cấp phát kinh phí.
              + Căn cứ thu ngân sách 06 tháng đầu năm và ước thực hiện cả năm, nếu thu ngân sách không đạt KH, thì các đơn vị phải sử dụng dự toán được bố trí đầu năm để thực hiện các nhiệm vụ phát sinh, UBND thị xã không cấp kinh phí cho đơn vị./.
              + Nếu thu ngân sách đạt theo kế hoạch tỉnh giao UBND thị xã sẽ thực hiện phân bổ hết các nhiệm vụ chi đã giao dự toán đầu năm theo nghị quyết HĐND thị xã.
              + Nếu thu ngân sách không đạt theo kế hoạch tỉnh giao, UBND thị xã sẽ thực hiện phương án cắt giảm dự toán các đơn vị theo phương án trình HĐND thị xã đầu năm.
</t>
  </si>
  <si>
    <t xml:space="preserve">Kinh phí HN cuộc vận động "nguời việt nam dùng hàng việt nam":
  - in ấn phô tô tài liệu: 2 triệu đồng; 
  - makets, hoa tươi, nước uống: 2 triệu đồng;
  - phát tiền đại biểu dự họp: 120 x 50.000 đ/người = 6 triệu đồng; </t>
  </si>
  <si>
    <t>Sửa chữa các cụm phát sóng</t>
  </si>
  <si>
    <t>Tiền lương, phụ cấp CV, BL, TNVK (23 đ/c)</t>
  </si>
  <si>
    <t>Tiền tết: 23 người  (01 trưởng x 5 triệu; 01 phó x 4,5 triệu; 21 x 4 triệu)</t>
  </si>
  <si>
    <t>Tiền các ngày lễ ( 30/4-1/5; 02/9/; tết dương lịch; ngày thành lập ngành, ngày giổ tổ HV: 23 người x 300 nghìn đồng/ người x 5 ngày)</t>
  </si>
  <si>
    <t xml:space="preserve">     Cán bộ trong biên chế</t>
  </si>
  <si>
    <t>Tiền lương, phụ cấp (01 đ/c)</t>
  </si>
  <si>
    <t xml:space="preserve">    * Cán bộ  hưởng phụ cấp</t>
  </si>
  <si>
    <t>Tiền phụ cấp</t>
  </si>
  <si>
    <t>Phụ cấp chủ tịch hội:  2,5 lần</t>
  </si>
  <si>
    <t>Phó chủ tịch thương trực: 2 lần</t>
  </si>
  <si>
    <t>Giao lưu văn nghệ, giải bóng chuyền hơi NCT thị xã</t>
  </si>
  <si>
    <t>Kỷ niệm các ngày lễ, giao lưu với đồn Biên phòng Vũng Áng (10 triệu đồng) và hỗ trợ đồn Biên phòng Vũng Áng (10 triệu đồng)</t>
  </si>
  <si>
    <t xml:space="preserve">Trợ cấp ngày công lao động của lực lượng DQTV </t>
  </si>
  <si>
    <t>Hoạt động thư viện thị xã</t>
  </si>
  <si>
    <t xml:space="preserve">Chi mua sắm tài sản </t>
  </si>
  <si>
    <t>Thuận Lộc</t>
  </si>
  <si>
    <t xml:space="preserve">Kinh phí chỉnh lý tài liệu, và nộp tài liệu lưu trử ( đã được duyệt theo Quyết định số 1257/QĐ- UBND ngày  21/10/2013 </t>
  </si>
  <si>
    <t>Tiền các ngày lễ ( 30/4-1/5; 02/9/; tết dương lịch; ngày thành lập ngành, ngày giổ tổ HV: 2 người x 300 nghìn đồng/ người x 5 ngày)</t>
  </si>
  <si>
    <t>Tiền tết  âm lịch ( 06 đ/c ; 01 trưởng - BTV x 7 triệu; 02 phó x 4,5 tr; 3 x 4 tr)</t>
  </si>
  <si>
    <t>Kinh phí phục vụ hoạt động ngoại vụ</t>
  </si>
  <si>
    <t>TM. ỦY BAN NHÂN DÂN</t>
  </si>
  <si>
    <t>CHỦ TỊCH</t>
  </si>
  <si>
    <t>6. Thu cấp quyền khai thác khoáng sản</t>
  </si>
  <si>
    <t>Quỹ đất</t>
  </si>
  <si>
    <t xml:space="preserve"> * Trªn ®Þa bµn ph­êng</t>
  </si>
  <si>
    <t xml:space="preserve">   + Thu tõ c¸c DN, HTX</t>
  </si>
  <si>
    <t xml:space="preserve">   + DN, HTX</t>
  </si>
  <si>
    <t xml:space="preserve">   +Hé kinh doanh c¸ thÓ</t>
  </si>
  <si>
    <t xml:space="preserve"> + Ph¸t sinh trªn ®Þa bµn x·</t>
  </si>
  <si>
    <t xml:space="preserve"> + Ph¸t sinh trªn ®Þa bµn ph­êng</t>
  </si>
  <si>
    <t>Dự phòng NS</t>
  </si>
  <si>
    <t>CHI ĐẦU TƯ PHÁT TRIỂN</t>
  </si>
  <si>
    <t>XV</t>
  </si>
  <si>
    <t xml:space="preserve"> PHÒNG TÀI CHÍNH - KH</t>
  </si>
  <si>
    <t>Chỉ tiêu</t>
  </si>
  <si>
    <t>Bắc Hồng</t>
  </si>
  <si>
    <t>Nam Hồng</t>
  </si>
  <si>
    <t>Đức Thuận</t>
  </si>
  <si>
    <t>Đậu Liêu</t>
  </si>
  <si>
    <t>Hội bảo vệ quyền lợi người tiêu dùng</t>
  </si>
  <si>
    <t>PhÝ LÖ phÝ</t>
  </si>
  <si>
    <t>Thu kh¸c t¹i x·</t>
  </si>
  <si>
    <t xml:space="preserve"> Uû ban nh©n d©n</t>
  </si>
  <si>
    <t xml:space="preserve"> thÞ x· Hång lÜnh</t>
  </si>
  <si>
    <t>Tiền các ngày lễ (tết dương lịch; 30/4-1/5; 2/9; ngày thành lập ngành, ngày giỗ tổ HV: 2 người x 300 nghìn đ/ngưòi  x 5 ngày )</t>
  </si>
  <si>
    <t>Kinh phí đi tham quan học tập kinh nghiệm: (2 đ/c x 2 triệu)</t>
  </si>
  <si>
    <t>Tiền các ngày lễ (tết dương lịch; 30/4-1/5; 2/9; ngày thành lập ngành, ngày giỗ tổ HV: 5 người x 300 nghìn đ/người x 5 ngày )</t>
  </si>
  <si>
    <t>Chi phí khác chưa biết trước nhiệm vụ</t>
  </si>
  <si>
    <t>NỘI DUNG CÁC KHOẢN CHI</t>
  </si>
  <si>
    <t xml:space="preserve"> CHI NGÂN SÁCH XÃ, PHƯỜNG</t>
  </si>
  <si>
    <t xml:space="preserve"> UỶ BAN NHÂN DÂN</t>
  </si>
  <si>
    <t xml:space="preserve"> THỊ XÃ HỒNG LĨNH</t>
  </si>
  <si>
    <t>Đơn vị tính: Nghìn đồng</t>
  </si>
  <si>
    <t>NỘI DUNG</t>
  </si>
  <si>
    <t>Phòng Tài nguyên - Môi trường</t>
  </si>
  <si>
    <t>Trung tâm Ứng dụng KHCN và BV cây trồng vật nuôi</t>
  </si>
  <si>
    <t xml:space="preserve">Sự nghiệp đảm bảo xã hội </t>
  </si>
  <si>
    <t>PHÒNG TÀI CHÍNH - KH</t>
  </si>
  <si>
    <t>Văn phòng Thị ủy</t>
  </si>
  <si>
    <t xml:space="preserve">Văn phòng Ủy ban nhân dân </t>
  </si>
  <si>
    <t>Kinh phí phòng chống bão lụt</t>
  </si>
  <si>
    <t>Hoạt động CLB nữ doanh nhân</t>
  </si>
  <si>
    <t>Thu từ xí nghiệp có vốn đầu tư nước ngoài</t>
  </si>
  <si>
    <t xml:space="preserve"> - Thuế giá trị gia tăng và TNDN</t>
  </si>
  <si>
    <t>Thuế thu nhập cá nhân</t>
  </si>
  <si>
    <t>Xây dựng cơ sở ATLC, SSCĐ</t>
  </si>
  <si>
    <t>Hoạt động của hội đồng giáo dục Quốc phòng</t>
  </si>
  <si>
    <t xml:space="preserve"> - Các khoản thu 100%</t>
  </si>
  <si>
    <t xml:space="preserve"> - Thu phân chia theo tỷ lệ %</t>
  </si>
  <si>
    <t>UỶ BAN NHÂN DÂN</t>
  </si>
  <si>
    <t>THỊ XÃ HỒNG LĨNH</t>
  </si>
  <si>
    <t>XX</t>
  </si>
  <si>
    <t xml:space="preserve">Kinh phí thường xuyên: </t>
  </si>
  <si>
    <t xml:space="preserve"> * Trªn ®Þa bµn x·</t>
  </si>
  <si>
    <t xml:space="preserve">   + Hé kinh doanh c¸ thÓ</t>
  </si>
  <si>
    <t xml:space="preserve"> + Tài nguyên khoáng sản</t>
  </si>
  <si>
    <t xml:space="preserve"> + Tài nguyên khác</t>
  </si>
  <si>
    <t>TrÇn Quang TuÊn</t>
  </si>
  <si>
    <t>Các khoản đóng góp (đóng 2%KPCĐ)</t>
  </si>
  <si>
    <t>Hội nghị sơ kết, tổng kết và triển khai các nghị quyết</t>
  </si>
  <si>
    <t>Kinh phí thực hiện Quy định 158 của BTV Thị uỷ về các chính sách đối với cán bộ, đảng viên (có phụ lục kèm theo)</t>
  </si>
  <si>
    <t xml:space="preserve"> - X·, ph­êng thu</t>
  </si>
  <si>
    <t xml:space="preserve"> - ThÞ x· quản lý thu</t>
  </si>
  <si>
    <t xml:space="preserve">  + Thu hộ CN</t>
  </si>
  <si>
    <t>Tiền các ngày lễ ( tết dương lịch; ngày 30/4 -1/5; ngày 02/9; ngày thành lập ngành, ngày giỗ tỗ HV: 14 x 300 nghìn đồng/ ngày x5 ngày)</t>
  </si>
  <si>
    <t>Mua tủ nhôm kính tại nhà bếp và mua sắm ấm chén hội trường</t>
  </si>
  <si>
    <t>KP hoạt động Hội liên hiệp thanh niên, đội thiếu niên TP:
 - Giải bóng đá thanh niên chào mừng ngày thành lập hội LHTN: 10 triệu đồng
 - Hỗ trợ CLB ngân hàng máu sống: 10 triệu đồng.
 - Hội nghị tổng kết: 5 triệu đồng
 - Hỗ trợ hoạt động các CLB, tổ, đội nhóm: 5 triệu đồng</t>
  </si>
  <si>
    <t>Tổ chức phát động làm đường băng cản lửa</t>
  </si>
  <si>
    <t>Hoạt động đội thanh niên xung kích thị xã</t>
  </si>
  <si>
    <t xml:space="preserve">Dự toán sẽ phân bổ cuối năm khi thu NS  đạt KH, nếu hụt thu NS sẽ cắt giảm </t>
  </si>
  <si>
    <t>Kp đi tập huấn tabmis toàn thể cán bộ CC phòng.</t>
  </si>
  <si>
    <t xml:space="preserve">Dự toán phân bổ </t>
  </si>
  <si>
    <t>Trong đó</t>
  </si>
  <si>
    <t>Kinh phí xét nghiệm tets nhanh thực phẩm tại các chợ</t>
  </si>
  <si>
    <t>Duyệt chi tiết cụ thể DT thu, chi</t>
  </si>
  <si>
    <t>Kinh phí chuẩn tiếp cận pháp luật, hòa giải cơ sở</t>
  </si>
  <si>
    <t>Kinh phí thực hiện cuộc vận động " Toàn dân đoàn kết xây dựng NTM, đô thị văn minh"</t>
  </si>
  <si>
    <t>Dự toán năm 2018</t>
  </si>
  <si>
    <t>Đề án phòng chống ma túy, hỗ trợ cai nghiện cộng đồng và NQLT01 công an - PN về quản lý giáo dục con em trong gia đình không phạm tội và TNXH (2012-2017)</t>
  </si>
  <si>
    <t>Tết tỉnh (1 trưởng; 3 phó)</t>
  </si>
  <si>
    <t>Dù phßng ng©n s¸ch</t>
  </si>
  <si>
    <t xml:space="preserve"> - Bổ sung cân đối</t>
  </si>
  <si>
    <t xml:space="preserve"> - Bổ sung có mục tiêu</t>
  </si>
  <si>
    <t>Bổ sung cho NS xã, phường</t>
  </si>
  <si>
    <t>Tiền các ngày lễ (tết dương, 30/4-1/5; 02/9; thành lập ngành, ngày giỗ tổ HV:  5 ngày x 300 nghìn đồng/ ngày x 3 người)</t>
  </si>
  <si>
    <t>Kinh phí đi tham quan học tập kinh nghiệm ( 3 đ/c x 2 tr đ/người)</t>
  </si>
  <si>
    <t>Tiền các ngày lễ (tết dương, 30/4-1/5; 02/9; thành lập ngành, ngày giỗ tổ HV: 5 ngày x 300 nghìn đồng/ ngày x 3 người)</t>
  </si>
  <si>
    <t>Tiền tết CBCNV: 02 đ/c  ( 01 trưởng x 5 triệu, 1 x 4 triệu )</t>
  </si>
  <si>
    <t>KP lãnh đạo UB đi công tác ngoại tỉnh, xúc tiến đầu tư</t>
  </si>
  <si>
    <t xml:space="preserve">Kinh phí tiếp khách </t>
  </si>
  <si>
    <t xml:space="preserve"> - Phí và lệ phí tỉnh, huyện</t>
  </si>
  <si>
    <t xml:space="preserve"> - Phí và lệ phí xã</t>
  </si>
  <si>
    <t>Tiền tết CBCNV 3 người (01 trưởng -CHTU x 5 tr; 01 phó x 4,5 tr; 1 người x 4 tr)</t>
  </si>
  <si>
    <t>Hỗ trợ xăng xe  đ/c Đường (1 triệu đồng/tháng x 12T)</t>
  </si>
  <si>
    <t>Kinh phí đi tham quan học tập, kinh nghiệm (03 đ/c x 2 tr đồng/người)</t>
  </si>
  <si>
    <t xml:space="preserve">Kinh phí thường xuyên </t>
  </si>
  <si>
    <t xml:space="preserve">Các khoản đóng góp </t>
  </si>
  <si>
    <t>Tiền các ngày lễ (30/4-1/5; 02/9; tết dương lịch; ngày thành lập ngành, ngày giỗ tổ Hùng Vương 5 ngày x 300 nghìn đồng/ ngày x 4 người</t>
  </si>
  <si>
    <t>Công tác nội chính, tôn giáo và chỉ đạo phòng chống tham nhũng</t>
  </si>
  <si>
    <t>Kinh phí khen thưởng; Tổng kết xây dựng Đảng</t>
  </si>
  <si>
    <t xml:space="preserve">Trung tâm Hành chính công thị xã </t>
  </si>
  <si>
    <t>Chúc tết lãnh đạo Trung tâm hành chính công tỉnh</t>
  </si>
  <si>
    <t>Cước phí internet, đường truyền: 300.000 đ/tháng x 12T</t>
  </si>
  <si>
    <t>Cước điện thoại bàn, máy fax: 150.000 đ/tháng x 12T</t>
  </si>
  <si>
    <t>Tiền tết 03 đ/c  ( 01 trưởng x 5 triệu; 01 phó x 4,5; 1 x 4 triệu )</t>
  </si>
  <si>
    <t>Tiền quà tết các cụ cao tuổi (trên 90 tuổi)</t>
  </si>
  <si>
    <t xml:space="preserve">  + PhÝ b¶o vÖ MT ®èi víi n­íc 
th¶i sinh ho¹t</t>
  </si>
  <si>
    <t xml:space="preserve"> - Thu khac ngoai QD</t>
  </si>
  <si>
    <t>Hỗ trợ xăng xe thành viên UB - Đ/c Định ( 1 triệu đồng/ tháng x12 T)</t>
  </si>
  <si>
    <t>Hỗ trợ xăng xe  đ/c Hương (1 triệu đồng/tháng x 12T)</t>
  </si>
  <si>
    <t>Hỗ trợ xăng xe đ/c Thiềm TVUB 1 triệu đồng/tháng x 12T</t>
  </si>
  <si>
    <t>Hỗ trợ xăng xe đ/c Ngọc TVUB 1 triệu đồng/tháng x 12T</t>
  </si>
  <si>
    <t>Bảo vệ đê điều</t>
  </si>
  <si>
    <t>P. Bắc Hồng</t>
  </si>
  <si>
    <t>P. Nam Hồng</t>
  </si>
  <si>
    <t>Thu NS xã hưởng</t>
  </si>
  <si>
    <t>Các hoạt động cải cách hành chính: 
 - Triền khai phần mềm QLCBCC: 70 triệu đồng.
 - Hoạt động khác: 30 triệu đồng</t>
  </si>
  <si>
    <t xml:space="preserve"> Thu từ doanh nghiệp nhà nước TW</t>
  </si>
  <si>
    <t>Thu từ doanh nghiệp nhà nước địa phương</t>
  </si>
  <si>
    <t xml:space="preserve"> - Thuế TTĐB hàng hoá dịch vụ trong nước</t>
  </si>
  <si>
    <t xml:space="preserve"> - Thuế tài nguyên</t>
  </si>
  <si>
    <t xml:space="preserve">Kinh phí mua bảo hiểm xe ô tô </t>
  </si>
  <si>
    <t>Tổ chức cơ sở Đảng</t>
  </si>
  <si>
    <t>KP hoạt động Ban vì sự tiến bộ phụ nữ</t>
  </si>
  <si>
    <t>Sự nghiệp văn hóa - TDTT</t>
  </si>
  <si>
    <t>Mua giấy CNQSDĐ</t>
  </si>
  <si>
    <t>Hội nghị tuyên truyền,Hoạt động hiến máu nhân đạo</t>
  </si>
  <si>
    <t>Phụ cấp cơ yếu (tiền ăn, tiền trang phục, bồi dưỡng bằng hiện vật theo Nghị định số 01/2009/NĐ-CP)</t>
  </si>
  <si>
    <t>Chi hoạt động thường xuyên (HSL, PC + HS các khoản đóng góp) *1210*12*20%/80%</t>
  </si>
  <si>
    <t>Hỗ trợ phụ cấp bí thư, tổ trưởng tổ dân phố, thôn xóm theo Nghị quyết số 32/NQ-HĐND thị xã</t>
  </si>
  <si>
    <t>Hỗ trợ ngày công lao động</t>
  </si>
  <si>
    <t>Hỗ trợ diễn tập chiến đấu phòng thủ cấp phường, xã</t>
  </si>
  <si>
    <t>Kinh phí đi chúc tết 1GĐ 1000, 5 PGĐ 500</t>
  </si>
  <si>
    <t>Phụ cấp tự vệ trưởng khối cơ quan, xí nghiệp</t>
  </si>
  <si>
    <t>Chi ngân sách xã, phường</t>
  </si>
  <si>
    <t>Nội dung</t>
  </si>
  <si>
    <t>Dự toán</t>
  </si>
  <si>
    <t>Ước thực hiện</t>
  </si>
  <si>
    <t>Thu từ các doanh nghiệp Nhà nước</t>
  </si>
  <si>
    <t>Kinh phí  rà soát, tự kiểm tra và kiểm tra văn bản QPPL, tập huấn = 25 tr</t>
  </si>
  <si>
    <t>Tết tỉnh (trưởng 1 triệu; 05 phó x 0,5 tr. đồng)</t>
  </si>
  <si>
    <t>Tết tỉnh (trưởng 1 triệu; 3 phó x 0,5 tr. đồng)</t>
  </si>
  <si>
    <t>ThuÕ thu nhËp CN</t>
  </si>
  <si>
    <t>Tiền lương, phụ cấp CV, BL, TNVK, KV(59 đ/c)</t>
  </si>
  <si>
    <t>Thu phí và lệ phí</t>
  </si>
  <si>
    <t>Thu từ các DN thành lập theo Luật DN, HTX</t>
  </si>
  <si>
    <t>DT Đầu năm</t>
  </si>
  <si>
    <t>4. Thuế sử dụng đất phi nông nghiệp</t>
  </si>
  <si>
    <t>Thu phí, lệ phí kiểm dịch, kiểm soát giết mổ</t>
  </si>
  <si>
    <t>Chi phí, lệ phí kiểm dịch, kiểm soát giết mổ</t>
  </si>
  <si>
    <t>Thu NS phường, xã hưởng</t>
  </si>
  <si>
    <t>Uỷ ban Mặt trận TQVN thị xã</t>
  </si>
  <si>
    <t>Hoạt động thể dục, thể thao</t>
  </si>
  <si>
    <t>Kinh phí đi tham quan học tập kinh nghiệm: 2 đ/c x 2 triệu</t>
  </si>
  <si>
    <t>Phụ cấp theo NĐ 57/ND-CP và phụ cấp công vụ</t>
  </si>
  <si>
    <t>Tiền các ngày lễ (tết dương, 30/4-1/5; 02/9; thành lập ngành, ngày giỗ tổ: 5 ngày x 300 nghìn đồng/ ngày x 6 người)</t>
  </si>
  <si>
    <t>Ban bảo vệ sức khoẻ cán bộ</t>
  </si>
  <si>
    <t>Phụ cấp trách nhiệm</t>
  </si>
  <si>
    <t xml:space="preserve">Phụ cấp công vụ </t>
  </si>
  <si>
    <t>KP thường xuyên</t>
  </si>
  <si>
    <t>Tiền chúc tết tỉnh: (1 trưởng; 02 phó)</t>
  </si>
  <si>
    <t>Phòng Nội vụ</t>
  </si>
  <si>
    <t>Giải cầu lông Thị xã</t>
  </si>
  <si>
    <t>Tiền tết CBCNV 3 người (01 trưởng  x5 triệu; 01 phó x 4,5 tr; 1 x 4 tr)</t>
  </si>
  <si>
    <t>Tiền tết CBCNV 3 người  (01 trưởng - x 5 triệu; 0 phó x 4,5 triệu; 01 x 4 triệu)</t>
  </si>
  <si>
    <t>Tiền tết 8 đ/c ( 01 trưởng - x 5 triệu; 02 phó x 4,5 triệu; 5 x 4 triệu)</t>
  </si>
  <si>
    <t xml:space="preserve">Tiếp tục thực hiện đề án 413 và Nghị định số 80/CP </t>
  </si>
  <si>
    <t>Chi phục vụ học tập và làm theo tấm gương đạo đức HCM</t>
  </si>
  <si>
    <t>Tiền các ngày lễ (tết dương lịch; 30/4-1/5; 2/9; ngày thành lập ngành: 5 người x 300 nghìn đ/ngưòi  x 5 ngày )</t>
  </si>
  <si>
    <t xml:space="preserve"> TRƯỞNG PHÒNG</t>
  </si>
  <si>
    <t>Trần Quang Tuấn</t>
  </si>
  <si>
    <t>ĐVT: Nghìn đồng</t>
  </si>
  <si>
    <t>Kinh phí triển khai lập KH KTXH 
 (một tổ dân phố 1 triệu)</t>
  </si>
  <si>
    <t>Phòng Quản lý đô thị</t>
  </si>
  <si>
    <t xml:space="preserve"> - Các khoản thu NS cấp thị xã hưởng 100%</t>
  </si>
  <si>
    <t xml:space="preserve"> - Các khoản thu NS phường, xã hưởng 100%</t>
  </si>
  <si>
    <t>Hång LÜnh, ngµy       th¸ng 12  n¨m 2017</t>
  </si>
  <si>
    <t>cña tõng x·, ph­êng n¨m 2017 vµ dù to¸n n¨m 2018</t>
  </si>
  <si>
    <t>Ph­êng §øc ThuËn</t>
  </si>
  <si>
    <r>
      <rPr>
        <sz val="11"/>
        <color indexed="8"/>
        <rFont val="Times New Roman"/>
        <family val="1"/>
      </rPr>
      <t>Phường</t>
    </r>
    <r>
      <rPr>
        <sz val="11"/>
        <color indexed="8"/>
        <rFont val=".VnTime"/>
        <family val="2"/>
      </rPr>
      <t xml:space="preserve"> Trung L­¬ng</t>
    </r>
  </si>
  <si>
    <r>
      <rPr>
        <sz val="11"/>
        <color indexed="8"/>
        <rFont val="Times New Roman"/>
        <family val="1"/>
      </rPr>
      <t>Phường</t>
    </r>
    <r>
      <rPr>
        <sz val="11"/>
        <color indexed="8"/>
        <rFont val=".VnTime"/>
        <family val="2"/>
      </rPr>
      <t xml:space="preserve"> §Ëu Liªu</t>
    </r>
  </si>
  <si>
    <t>Kinh phí đi cơ sở của đ/c Khánh</t>
  </si>
  <si>
    <t>Dù to¸n
 n¨m 2018</t>
  </si>
  <si>
    <t xml:space="preserve">Dự toán năm 2018 </t>
  </si>
  <si>
    <t xml:space="preserve"> - phi m«n bµi</t>
  </si>
  <si>
    <t>DỰ TOÁN THU NSNN NĂM 2019 THEO TỪNG SẮC THUẾ</t>
  </si>
  <si>
    <t>Dự toán năm 2019</t>
  </si>
  <si>
    <t>Thực hiện</t>
  </si>
  <si>
    <t>So sánh
TH với DT( %)</t>
  </si>
  <si>
    <t>So sánh
TH với DT
( %)</t>
  </si>
  <si>
    <t>Dự toán
 năm 2019</t>
  </si>
  <si>
    <t>Dự toán 2019</t>
  </si>
  <si>
    <t xml:space="preserve"> - Thu bổ sung cân đối từ ngân sách cấp tỉnh</t>
  </si>
  <si>
    <t>UTH</t>
  </si>
  <si>
    <t>Hồng Lĩnh, ngày       tháng 12 năm 2018</t>
  </si>
  <si>
    <t xml:space="preserve"> - Nguồn kết dư, chuyển nguồn ngân sách</t>
  </si>
  <si>
    <t xml:space="preserve"> - Thuế VAT  + TNDN</t>
  </si>
  <si>
    <t>ĐÁNH GIÁ THỰC HIỆN CHI NGÂN SÁCH CẤP THỊ XÃ CHO TỪNG ĐƠN VỊ</t>
  </si>
  <si>
    <t xml:space="preserve"> - Thu khác từ các đơn vị TW đóng 
trên địa bàn (công an, thi hành án)</t>
  </si>
  <si>
    <t xml:space="preserve"> - Thu khác</t>
  </si>
  <si>
    <t xml:space="preserve">  ỦY BAN NHÂN DÂN                                                                                                                                          CỘNG HÒA XÃ HỘI CHỦ NGHĨA VIỆT NAM</t>
  </si>
  <si>
    <t xml:space="preserve">  THỊ XÃ HỒNG LĨNH                                                                                                                                                               Độc lập  -Tự do - Hạnh phúc</t>
  </si>
  <si>
    <t>PHÂN BỔ DỰ TOÁN CHI NGÂN SÁCH NĂM 2019</t>
  </si>
  <si>
    <t xml:space="preserve">                      </t>
  </si>
  <si>
    <t>Hệ số lương, PC năm 2019</t>
  </si>
  <si>
    <t>Tổng số được sử dụng năm 2018</t>
  </si>
  <si>
    <t>Dự toàn đầu năm</t>
  </si>
  <si>
    <t xml:space="preserve">Phân bổ thêm </t>
  </si>
  <si>
    <t>Số phân bổ đầu năm</t>
  </si>
  <si>
    <t xml:space="preserve">Dự kiến sẽ phân bổ cuối năm khi thu NS  đạt KH, nếu hụt thu NS sẽ cắt giảm </t>
  </si>
  <si>
    <t>Tiền lương, phụ cấp CV, BL, TNVK (27 đ/c: 26 trong biên chế; 01 hợp đồng)</t>
  </si>
  <si>
    <t>Tiền hợp đồng bảo vệ, vệ sinh (2 ngừoi  x 3.000.000 đ x 12T)</t>
  </si>
  <si>
    <t>Phụ cấp cấp uỷ (34 người x 1.390.000 đ x 0,4 x 12T)</t>
  </si>
  <si>
    <t>Phụ cấp báo cáo viên 28 *0.2*1390</t>
  </si>
  <si>
    <t>Phụ cấp ủy viên các chi bộ doanh nghiệp (11 đ/c x 12T x 1.390.000 đ/tháng x 0,3)</t>
  </si>
  <si>
    <t>Hỗ trợ kinh phí hoạt động cho các ban xây dựng Đảng (04 ban x 50 triệu đồng/ban)</t>
  </si>
  <si>
    <t>Hỗ trợ 04 ban (ban Dân vận; Ủy ban kiểm tra; Ban tổ chức; ban Tuyên giáo)  x 50 triệu/ban + Văn phòng: 50 triệu đồng</t>
  </si>
  <si>
    <t xml:space="preserve">Chỉ đạo xây dựng và thẩm định lịch sử Đảng bộ </t>
  </si>
  <si>
    <t>Kinh phí mua bộ máy tính máy in Chánh văn phòng</t>
  </si>
  <si>
    <t>Kinh phí lãnh đạo thị xã đi họp đồng hương, xúc tiến đầu tư tại TPHCM</t>
  </si>
  <si>
    <t>Kinh phí bảo hiểm y tế đại biểu HĐND (đ/c Cúc, Nhân)</t>
  </si>
  <si>
    <t>Bao gồm tất cả kinh phí phục vụ kỳ họp, họp (tiền phát đại biểu; tiền in ấn, phô tô tài liệu; tiền thẩm tra văn bản; các điều kiện phục vụ khác ….)</t>
  </si>
  <si>
    <t>Kinh phí khoán báo chí cho các đại biểu: 72 triệu đồng
   + 24 đại biểu x 200.000 đ/đại biểu x 12T=57,6 triệu đồng;
   + 4 đại biểu chuyên trách x 300.000 đ/tháng x12T = 14,4 triệu đồng;</t>
  </si>
  <si>
    <t>Kinh phí  khám sức khỏe đại biểu HĐND: 28 đại biểu x 1,5 triệu /người/ năm</t>
  </si>
  <si>
    <t>Kinh phí tiếp khách, đối ngoại, đi công tác</t>
  </si>
  <si>
    <r>
      <t xml:space="preserve">Kinh phí thẩm tra ý kiến cử tri và giám sát của HĐND, TTHĐND 
</t>
    </r>
    <r>
      <rPr>
        <i/>
        <sz val="11"/>
        <color indexed="12"/>
        <rFont val="Times New Roman"/>
        <family val="1"/>
      </rPr>
      <t>(giám sát chuyên đề 02 cuộc, khảo sát 04 cuộc)</t>
    </r>
  </si>
  <si>
    <t>Trong Nghị quyết số 82/2017/NQ-HĐND không quy định nội dung chi này; Thực tế năm 2018 không phát sinh.</t>
  </si>
  <si>
    <t>Kinh phí hỗ trợ cán bộ đi công tác, học tập nghiệp vụ (02 phó CT HĐND thị xã đi tập huấn)</t>
  </si>
  <si>
    <t>Kinh phí giao khoán kinh phí tiếp xúc cử tri đại biểu HĐND thị xã: 60 triệu đồng.
   + 24 địa biểu x 2 triệu đồng/năm = 48 triệu đồng/năm
   + 4 đại biểu chuyên trách x 3 triệu đồng/năm = 12 triệu đồng/năm</t>
  </si>
  <si>
    <t>Mua máy tính xách tay 02 phó ban: 02 cái x 13 triệu đồng/cái</t>
  </si>
  <si>
    <t>Mua máy ảnh phục hoạt động HĐND thị xã</t>
  </si>
  <si>
    <t>Mua máy tính đ/c CTHĐ</t>
  </si>
  <si>
    <t>Phụ cấp tiếp dân 02 đ/c Thái., Thắng. (2.640.000đ/tháng x12 x 2)</t>
  </si>
  <si>
    <t>Truy lĩnh phụ cấp tiếp dân do tăng mức hưởng từ 2,2 triệu đồng/tháng lên 2,640 triệu đồng/tháng từ T8/2018 (0,44 triệu đồng/tháng x 2 người x 5 tháng = 4,4 triệu đồng)</t>
  </si>
  <si>
    <t>Tiền tết CBCC Văn phòng: 16 người 
 (01 đ/c TT x 10 tr đồng;  PCTT(TV): 1 x 7 tr; PCT (không TV): 6 triệu; TPx5 tr; PP: 2x4,5 tr; 8x4 tr; 02 bảo vệ x 1 triệu đồng/ người )</t>
  </si>
  <si>
    <t>Tiền chúc tết tỉnh Sở ngoại vụ, VPUBND tỉnh (2 trưởng; 7 phó; 3 văn thư; )</t>
  </si>
  <si>
    <t>Tiền tết các ngành cấp tỉnh + tiền tết chi khác lãnh đạo &amp; chúc tết các đ/c nguyên lão thành thị xã</t>
  </si>
  <si>
    <t>Lương bảo vệ 2 người x 3.000.000 đ/tháng x 12 tháng</t>
  </si>
  <si>
    <t>Kinh phí tiếp báo, các đoàn kiểm tra; giám sát, thanh tra của các sở, ban, ngành</t>
  </si>
  <si>
    <t xml:space="preserve">Kinh phí xăng xe đi công tác 23,8 triệu/tháng * 12 tháng </t>
  </si>
  <si>
    <t>Theo thực tế mức đi của năm 2018</t>
  </si>
  <si>
    <t xml:space="preserve">Do tăng định mức chi  </t>
  </si>
  <si>
    <t>Kinh phí hoạt động và ban chỉ đạo ISO 9001 - 2008</t>
  </si>
  <si>
    <t>Kinh phí  triển khai xây dựng ISO 9001-2015 (đã triển khai thực hiện năm 2018, đang nợ tư vấn)
  + Hợp đồng thuê tư vấn hướng dẫn: 30 triệu đồng;
  + Đào tạo cán bộ, công chức: 5 triệu đồng;
  + Viết quy trình hệ thống: 5 triệu đồng;.
  + Đánh giá chất lượng nội bộ: 5 triệu đồng;
  + Mua văn phòng phẩm, biểu mẫu công khai hệ thống tiêu chuẩn: 5 triệu đồng</t>
  </si>
  <si>
    <t>Trả nợ năm 2018 (do yêu cầu đã thực hiện nhiệm vụ năm 2018)</t>
  </si>
  <si>
    <t>Kinh phí sửa xe 38M000.05 để đưa vào sử dụng</t>
  </si>
  <si>
    <t>Kinh phí nộp phí Bảo trì đường bộ xe 38M000.05 từ cuối năm 2013: 180 ngàn đồng/tháng x 12Tx 6 năm; phí kiểm định xe 5 năm</t>
  </si>
  <si>
    <t>Kinh phí mua máy tính cho đ/c PBT, CT UBND thị xã</t>
  </si>
  <si>
    <t>Kinh phí mua trang phục tiếp dân</t>
  </si>
  <si>
    <t>Tết tỉnh (trưởng 1 triệu; 04 x phó 0,5 tr. đồng/ người)</t>
  </si>
  <si>
    <t xml:space="preserve">KP ngày hội toàn dân bỏ vệ an ninh Tổ quốc 19/8: 
 - Hỗ trợ 52 khu dân cư: 36 triệu đồng (5 đơn vị làm điểm thị xã x 1 triệu đồng/đv =5 triệu đồng; 01 đơn vị làm điểm tỉnh: 2 triệu đồng; 46 đơn vị còn lại 0,5 triệu đồng/đơn vị = 23 triệu đồng).
 </t>
  </si>
  <si>
    <t xml:space="preserve">KP ngày hội đại đoàn kết toàn dân và kỷ niệm ngày thành lập các MTDTTN: 
  -  Hỗ trợ 06 phường,xã 06 khối làm điểm: 2 tr đồng x 6 khối = 12 triệu; 46 khối x1 triệu đồng = 46 triệu; 
 </t>
  </si>
  <si>
    <t>Bảo vệ cơ quan (01 người x 3 tr đồng x 12 tháng)</t>
  </si>
  <si>
    <t>Đề án  01: 138/CP về phòng ngừa phát hiện tố giác tội phạm,  gắn với đặt hòm thư tố giác tội phạm, tham nhũng (in in ấn phô tô tài liệu: 3 triệu đồng; HN tuyên truyền, hướng dẫn:  7 triệu đồng; Kiểm tra, giám sát: 5 triệu đồng)</t>
  </si>
  <si>
    <t>Kinh phí hoạt động thanh tra nhân dân và giám sát cộng đồng:
  - in ấn, phô tô tài liêu: 2 triệu đồng; tập huấn: 4 triệu đồng; 
  - Kiểm tra, giám sát, hội nghị sơ kết tổng kết: 4.000.000 đồng.</t>
  </si>
  <si>
    <t>Kinh phí cuộc vận động ngày  "vì người ngèo" và làm nhà ở hộ nghèo:  
  - In ấn, phô tô tài liệu, tuyên truyền: 2.000.000 đ;
  - Maket, hoa tươi, nước uống: 2.000.000 đ.
  - Khen thưởng: 5.000.000 đồng.
  - Chi khác: 1.000.000 đ.</t>
  </si>
  <si>
    <t>Kinh phí họp sơ kết 2 năm dòng họ văn minh, an toàn về an ninh trật tự (2018-2019)</t>
  </si>
  <si>
    <t xml:space="preserve">Kinh phí thực hiện QĐ số 217/QĐ-TW Quy chế giám sát và phản biện xã hội của Mặt trận Tổ quốc Việt Nam và các đoàn thể chính trị - xã hội” và QĐ số 218/QĐ-TW uy định về việc Mặt trận Tổ quốc Việt Nam, các đoàn thể chính trị - xã hội và nhân dân tham gia góp ý xây dựng Đảng, xây dựng chính quyền"
  + Tổ chức 02 đoàn giám sát:
  + Tập huấn giám sát cho cán bộ mặt trận cơ sở, thanh tra giám sát cộng đồng.
  + Tổng kết giám sát:
</t>
  </si>
  <si>
    <t>Đại hội MTTQ thị xã nhiệm kỳ 2019-2014</t>
  </si>
  <si>
    <t>Đại hội Phụ nữ, Nông dân, CCB: 120 đến 130 triệu đồng</t>
  </si>
  <si>
    <t>Kinh phí giám sát người đứng đầu, cán bộ chủ chốt và cán bộ đảng viên</t>
  </si>
  <si>
    <t>Tập huấn (các hộ xây dựng vườn mẫu; mô hình kinh kinh tế, công tác dân vận), triển khai, kiểm tra giám sát, rà soát các tiêu chí, tổng kết các cuộc vận động.</t>
  </si>
  <si>
    <t>Trả nợ kinh phí sửa xe ô tô năm 2017 (được thống nhất sửa của Thường trực Thị ủy tại TB số 134-TB/TU ngày 14/9/2016 nhưng chưa bố trí dự toán)</t>
  </si>
  <si>
    <t>KP hoạt động Hội liên hiệp thanh niên, đội thiếu niên TP:
 - Giải bóng đá thanh niên chào mừng ngày thành lập hội LHTN: 20 triệu đồng
 - Hỗ trợ CLB ngân hàng máu sống: 15 triệu đồng.
 - Hội nghị tổng kết: 10 triệu đồng
 - Hỗ trợ hoạt động các CLB, tổ, đội nhóm: 10 triệu đồng</t>
  </si>
  <si>
    <t>Hội thi tin học trẻ tỉnh và thị xã; 
Bồi dưỡng đội tuyển tham gia hội thi cấp Tĩnh và tham gia thi cấp Tỉnh.</t>
  </si>
  <si>
    <t>Lễ phát động cuộc thi sáng tạo KHKTTN, tham gia chung kết cuộc thi sáng tạo cuộc thi cấp thị và tham gia cấp tỉnh</t>
  </si>
  <si>
    <t>Lễ phát động tháng thanh niên năm 2019</t>
  </si>
  <si>
    <t>Đại hội Liên hiệp Thiếu niên Việt Nam thị xã</t>
  </si>
  <si>
    <t>Đại hội Phụ nữ, Nông dân, 
CCB: 120 đến 130 triệu đồng</t>
  </si>
  <si>
    <t>Tổ chức chương trình chào mừng thành công Đại hội Liên hiệp Thiếu niên Việt Nam thị xã</t>
  </si>
  <si>
    <t>Tổ chức gặp mặt cán bộ Đoàn truyền thống (Hồng Lĩnh đăng cai)</t>
  </si>
  <si>
    <t>Tham gia hội thi báo cáo viên cấp tỉnh</t>
  </si>
  <si>
    <t>Tổ chức chiến dịch Đông - Xuân tình nguyện</t>
  </si>
  <si>
    <t>Hỗ trợ 4 CLB do hội quản lý: khi mẹ vắng nhà, đồng cảm, tình thương trách nhiệm,
 khi bố mẹ vắng nhà</t>
  </si>
  <si>
    <t xml:space="preserve">Chương trình phối hợp đảm bảo VSMT chỉnh trang đô thị </t>
  </si>
  <si>
    <t>Tổ chức các hoạt động nhân ngày Quốc tế phụ nữ 8/3; ngày thành lập Hội LHPN Việt Nam 20/10</t>
  </si>
  <si>
    <t>Tuyên truyền, tập huấn Đề án 938 về "tuyên truyền, vận động, hỗ trợ phụ nữ tham gia giải quyết một số vấn đề xã hội liên quan đến phụ nữ" giai đoạn 2017-2027</t>
  </si>
  <si>
    <t>Tuyên truyền, tập huấn Đề án 939 về "Hỗ trợ phụ nữ khởi nghiệp" giai đoạn 2017-2025</t>
  </si>
  <si>
    <t>Hội nghị giữa nhiệm kỳ (2016-2021)</t>
  </si>
  <si>
    <t>Hỗ trợ xăng xe  đ/c Hiền (1 triệu đồng/tháng x 12T)</t>
  </si>
  <si>
    <t>Hội nghị biểu dương hộ Nông dân sản xuất, kinh doanh giỏi</t>
  </si>
  <si>
    <t>Xây dựng mô hình trồng rau bằng nhà lưới và đất nhân tạo</t>
  </si>
  <si>
    <t>Tổ chức các hoạt động kỷ niệm 30 năm ngày thành lập Hội CCB Việt Nam:
  - Tổ chức chương trình giao lưu văn nghệ tiếng hạt CCB cấp Thị: 15 triệu đồng
  - Tổ  chức giải bóng chuyền CCB toàn thị: 10 triệu đồng
  - Tổ chức mít tinh, gặp mặt:  35 triệu đồng</t>
  </si>
  <si>
    <t xml:space="preserve">Tổ chức HN thi đua yêu nước "Cựu chiến binh gương mẫu" lần thứ VI cấp thị xã </t>
  </si>
  <si>
    <t>Tham mưu, tổ chức gặp mặt CCB chống Pháp nhân kỷ niệm 65 ngày chiến thắng Điện Biên Phủ  (07/5/1954 - 07/5/2019) cấp Thị xã (bộ đội tham gia chống Pháp còn sống 64 đ/c)</t>
  </si>
  <si>
    <t>Chi chung sự nghiệp giáo dục (thực hiện các hoạt động chung của ngành giáo dục):
 - Tổ chức các chuyên đề, chuyên môn của ngành: 35 triệu đồng
 - Thi giáo viên giỏi, học sinh giỏi các cấp: 80 triệu đồng
 - Hội nghị sơ kết, tổng kết năm học: 30 triệu đồng;
 - Hội khỏe phù đổng toàn TX: 35 triệu đồng;
 - Hội khỏe phù đổng cấp Tỉnh: 40 triệu đồng;
 - Hoạt động văn nghệ TD, TT: 25 triệu đồng;
 - Các khoản khác: 115 triệu đồng;</t>
  </si>
  <si>
    <t>Tiền tết 05 người ( 01 trưởng - x 5 triệu ;2 phó x 4,5 tr; 2 x 4 tr  )</t>
  </si>
  <si>
    <t>Kinh phí thực hiện nhiệm vụ quản lý và thu quỹ phòng chống bão lụt (kinh phí thuê đưa công văn đôn đốc các đơn vị, doanh nghiệp nộp quỹ phòng chống Bão lụt: 03 đợt x 2 triệu đồng/lượt)</t>
  </si>
  <si>
    <t xml:space="preserve">Mua 01 máy tính + máy in </t>
  </si>
  <si>
    <t>Dự toán giao đầu năm</t>
  </si>
  <si>
    <t>Tiền các ngày lễ (tết dương lịch; 30/4-1/5; 2/9; ngày thành lập ngành:2 người x 300 nghìn đ/ngưòi  x 5 ngày )</t>
  </si>
  <si>
    <t>Kinh phí đi tham quan học tập kinh nghiệm ( 2 đ/c x 2 triệu)</t>
  </si>
  <si>
    <t>Tuyên truyền pháp luật :
 - UBND thị xã tổ chức 02 lớp x 8000.000 đ/lớp = 16 triệu đồng; 52 người không hưởng lương NS
 - Phối hợp Thị đoàn tổ chức 02 lớp: 02 x 13.000.000 đ/lớp = 26 triệu đồng;
 - Phối hợp với Hội LHPN thị xã tổ chức 02 lớp: 02 x 13 triệu đồng/lớp = 26 triệu đồng;
 - Phô tô tài liệu phục vụ HN, tài liệu gửi các đơn vị (tờ gấp. Văn bản PL....): 30 triệu đồng;
 - Phối hợp xây dựng chuyên mục, phóng sự  phổ biến PL: 10 triệu đồng;
 - Phối hợp biên tập nội dung, thu âm đĩa CD nội dung pháp luật để phổ biến loa truyền thanh: 04 đĩa x 5 triệu đồng/đĩa = 20 triệu đồng;
 - Tổng kết, khen thưởng, chi khác: 15 triệu đồng
 - Tổ chức 03 lớp tập huấn phổ biến pháp luật cho CBCC cơ quan: 6 triệu đồng</t>
  </si>
  <si>
    <t>Tuyên truyền pháp luật :
 - UBND thị xã tổ chức 02 lớp x 8000.000 đ/lớp = 16 triệu đồng; 52 người không hưởng lương NS
 - Phối hợp Thị đoàn tổ chức 02 lớp: 02 x 13.000.000 đ/lớp = 26 triệu đồng;
 - Phối hợp với Hội LHPN thị xã tổ chức 02 lớp: 02 x 13 triệu đồng/lớp = 26 triệu đồng;
 - Phô tô tài liệu phục vụ HN, tài liệu gửi các đơn vị (tờ gấp. Văn bản PL....): 16 triệu đồng;
 - Phối hợp xây dựng chuyên mục, phóng sự  phổ biến PL: 10 triệu đồng;
 - Phối hợp biên tập nội dung, thu âm đĩa CD nội dung pháp luật để phổ biến loa truyền thanh: 04 đĩa x 5 triệu đồng/đĩa = 10 triệu đồng;
 - Tổng kết, khen thưởng, chi khác: 10 triệu đồng;
 - Tổ chức 03 lớp tập huấn phổ biến pháp luật cho CBCC cơ quan: 6 triệu đồng</t>
  </si>
  <si>
    <t>Khi nào có văn bản kiểm soát thực hiện cấp kinh phí</t>
  </si>
  <si>
    <t>Tiền tết 5 đ/c (01 trưởng - x 5 triệu; 02 phó x 4,5 triệu; 2 x 4 tr )</t>
  </si>
  <si>
    <t>Kinh phí mua 01 bộ máy vi tính, máy in và bàn làm việc</t>
  </si>
  <si>
    <t>Kinh phí hội nghị công tác chăm sóc sức khỏe nhân dân HIV/AIDS, phòng chống HIV,</t>
  </si>
  <si>
    <t xml:space="preserve">Kinh phí Hội nghị tập huấn, hoạt động đoàn kiểm tra VSATTP </t>
  </si>
  <si>
    <t>Mua máy tinh đ/c Khanh</t>
  </si>
  <si>
    <t>Hỗ trợ kinh phí các đoàn đi thẩm tra, xác minh tố cáo, KN theo thông tư 04/2008/TT - LT của Bộ tài Chính và Thanh tra Chính Phủ: 9 đoàn x 5 triệu đồng/đoàn</t>
  </si>
  <si>
    <t>7 đoàn x 5 triệu đồng/đoàn</t>
  </si>
  <si>
    <t>Tập huấn thanh tra nhân dân, giải quyết khiếu nại tố cáo</t>
  </si>
  <si>
    <t>Kinh phí phong trào  " Toàn dân đoàn kết xây dựng đời sống văn hóa", bao gồm cả công tác vận động "TDĐKXDĐSVH ở khu dân cư " được sáp nhập theo QĐ số 2149, ngày 28/9/2012 của UBND Tỉnh:
   - Tập huấn việc cưới, việc tang, hương ước.
   - Xây dựng danh hiệu Văn hóa trong năm.
   - Khen thưởng các doanh nghiệp, cơ quan đạt chuẩn văn hóa</t>
  </si>
  <si>
    <t>Kinh phí chi trả tiền bảo vệ di tích theo Quyết định 26/2014/QĐ - UBND ngày 10/7/2014  của UBND tỉnh ( 20 di tích *100.000đ/tháng *12 tháng)</t>
  </si>
  <si>
    <t>Hỗ trợ đoàn kiểm tra liên ngành 814</t>
  </si>
  <si>
    <t>Kinh phí hỗ trợ xây dựng biển chỉ dẫn một số di tích trên địa bàn. Dự kiến làm các biển:
  + Chùa Đại Hùng, Chùa Long Đàm - Thiên Tượng, Chùa Hang, Đền Song Trạng, Đình Lao Giao Tác, Đền Phúc Hội, Di Tích Tiên Sơn, Nhà Thờ Bùi Đăng Đạt (mỗi di tích 01-02 biển)</t>
  </si>
  <si>
    <t>Thực hiện xã hội hóa</t>
  </si>
  <si>
    <t>Kinh phí Hợp đồng bảo trợ truyền thông</t>
  </si>
  <si>
    <t>Kinh phí tổ chức Hội báo xuân năm 2019</t>
  </si>
  <si>
    <t xml:space="preserve">Phòng Kinh tế </t>
  </si>
  <si>
    <t>Tiền tết 5 đ/c ( 01 trưởng - x 5 triệu; 02 phó x 4,5 triệu; 2 đ/c x 4 triệu )</t>
  </si>
  <si>
    <t>Tiền các ngày lễ (tết dương lịch; 30/4-1/5; 2/9; ngày thành lập ngành, ngày giỗ tổ HV: 5 người x 300 nghìn đ/ngưòi  x 5 ngày )</t>
  </si>
  <si>
    <t>Kinh phí đi tham quan HTKN (5/c x 2 triệu)</t>
  </si>
  <si>
    <t>Tiền tết (01 trưởng  x 5 triệu;01 phó x 4,5 triệu; 3đ/c *4 triệu)</t>
  </si>
  <si>
    <t>Kinh phí tham quan học tập kinh nghiệm (5 đ/cx 2 triệu)</t>
  </si>
  <si>
    <t>Kinh phí mua (01 máy tính + 01 máy in + 01 bàn làm việc đ/c Anh Nam)</t>
  </si>
  <si>
    <t>Tiền tết 06 đ/c ( 01 trưởng x 5 triệu; 02 phó x 4,5 triệu; 2 cv x 4 triệu )</t>
  </si>
  <si>
    <t>Kinh phí đi tham quan học tập kinh nghiệm 4 đ/c x 2 triệu</t>
  </si>
  <si>
    <r>
      <rPr>
        <b/>
        <sz val="11"/>
        <color rgb="FFFF0000"/>
        <rFont val="Times New Roman"/>
        <family val="1"/>
      </rPr>
      <t>Văn phòng điều phối xây dựng nông thôn mới</t>
    </r>
    <r>
      <rPr>
        <b/>
        <sz val="11"/>
        <color indexed="12"/>
        <rFont val="Times New Roman"/>
        <family val="1"/>
      </rPr>
      <t xml:space="preserve">
</t>
    </r>
    <r>
      <rPr>
        <sz val="11"/>
        <color indexed="12"/>
        <rFont val="Times New Roman"/>
        <family val="1"/>
      </rPr>
      <t xml:space="preserve"> - Phụ cấp thành viên (theo quy định) 124.992.000 đ.
 - Phụ cấp ban chỉ đạo: ( Bí thư, Phó Bí thư, Chủ tịch,) 32.760.000 đồng.
 - Kinh phí hoạt động: Văn phòng phẩm; Phô tô tài liệu, tập huấn và tiếp khách (các đoàn ra kiểm tra): 50.000.000 đ</t>
    </r>
  </si>
  <si>
    <t>Hỗ trợ cán bộ tiếp nhận và trả kết quả tại TTHCC: 1,000.000 đ tháng x 8 người x 12 T</t>
  </si>
  <si>
    <t>500.000 đ/người x 8 người x 12T</t>
  </si>
  <si>
    <t>Hỗ trợ may đồng phục : 2 triệu /người/năm x 8 người</t>
  </si>
  <si>
    <t>Hỗ trợ mỗi người 1 triệu đồng x 8 người</t>
  </si>
  <si>
    <t xml:space="preserve">Sử dụng nguồn thu phí, lệ phí 
được để lại đơn vị </t>
  </si>
  <si>
    <t>Kinh phí sửa chữa, bổ sung bảng biển chỉ dẫn, biển nội quy, bảng niêm yết công khai thủ tục hành chính, biển tên quầy, phù hiệu cán bộ</t>
  </si>
  <si>
    <t>Mua văn phòng phẩm hoạt động của Trung tâm</t>
  </si>
  <si>
    <t>Mua sắm vật tư, dụng cụ (chổi, giỏ rác, nước khoáng…)</t>
  </si>
  <si>
    <t>Phô tô tài liệu (Mẫu biểu, đơn, thủ tục hành chính)</t>
  </si>
  <si>
    <t>Kinh phí tiếp báo chi, truyền hình</t>
  </si>
  <si>
    <t>Nội dung chi này bố trí trong dự 
toán VP UBND TX</t>
  </si>
  <si>
    <t>Tập huấn triển khai dịch vụ công, bưu chính công, tuyên truyền các hoạt động của trung tâm</t>
  </si>
  <si>
    <t>Hợp đồng thực hiện bưu chính công ích (chuyển phát hồ sơ liên thông, kết quả giải quyết TTHC…)</t>
  </si>
  <si>
    <t>Tuyên truyền phổ biến chủ trương, chính sách về phát triển CN - TTCN: phối hợp với Đài PTTH phổ biến các chính sách mới</t>
  </si>
  <si>
    <t>Tập huấn các văn bản về phát triển công nghiệp - TTCN: 02 lớp cho các đối tượng doanh nghiệp, cơ sở sản xuất kinh doanh (mỗi lớp 150 người)
  +  Maket, nước uống, VS hội trường: 01 cuộc x 1 triệu đồng = 2 triệu đồng;
  + Thuê Giảng viên: 01 cuộc x 1 triệu đồng = 2 triệu đồng;
  + Bù tiền ăn cho đại biểu không hưởng lương NS: 150 x 100.000 đ/người x 2 lớp = 30 triệu đồng;
  + Chi khác: 1 triệu đồng</t>
  </si>
  <si>
    <t>Đưa sản phẩm công nghiệp, tiểu thủ công nghiệp tham dự bình chọn sản phẩm công nghiệp nông thôn tiểu biểu: (năm nào cũng đưa sản phẩm đi 3 ngày)
    + Thuê xe chở sản phẩm: 8 triệu đồng;
    + Hỗ trợ kinh phí ăn nghĩ; hỗ trợ gian hàng: 12 triệu đồng</t>
  </si>
  <si>
    <t xml:space="preserve">Hoạt động xúc tiến Thương mại ( Khuyến thương ) </t>
  </si>
  <si>
    <t xml:space="preserve">Tuyên truyền Pháp luật KDTM, tập huấn phát triển thương mại:
  </t>
  </si>
  <si>
    <t xml:space="preserve">Kinh phí đoàn kiểm tra liên ngành thị trường, giá cả vệ sinh an toàn thực phẩm 
   + Thành lập không 04 đoàn x 7,5 triệu đồng/đoàn =30 triệu đồng </t>
  </si>
  <si>
    <t>02 đoàn x 5 triệu đồng/ đoàn</t>
  </si>
  <si>
    <t>Tập huấn KHCN và tuyên truyền pháp luật, chính sách về KHCN (02 cuộc x 10 triệu đồng/cuộc)</t>
  </si>
  <si>
    <t xml:space="preserve">Họp triển khai các đề án, kế hoạch sản xuất NN: (02 cuộc Đông Xuân, Hè Thu, thành phần mời Bí thư, tổ trưởng, thôn trưởng các TDP, HTX ).
  + Tiền nước uống, maket, hội trường:  02 cuộc x 1000.000 đ/cuộc = 2.000.000 đồng;
  + Phát tiền cho đại biểu không hưởng lương NSNN: 120 người x 100.000 đ/người x 2 cuộc = 24.000.000 đồng.
  + Phô tô tài liệu: 4.000.000 đồng.
</t>
  </si>
  <si>
    <t>02 đoàn x 5 triệu đồng/đoàn</t>
  </si>
  <si>
    <t>Kinh phí triển khai các mô hình và đề án sản xuất nông nghiệp</t>
  </si>
  <si>
    <t>Tổ chức tập huấn công tác chỉnh trang đô thị</t>
  </si>
  <si>
    <t xml:space="preserve">Hội nghị tập huấn xử phạt hành chính, quản lý chất lượng công trình </t>
  </si>
  <si>
    <t>Mua sách tài liệu chuyên ngành</t>
  </si>
  <si>
    <t xml:space="preserve">Mua 01 bộ máy vi tính </t>
  </si>
  <si>
    <t>Mua 01 bộ máy in 02 mặt</t>
  </si>
  <si>
    <r>
      <t xml:space="preserve">Kinh phí hoạt động của HĐ xây dựng giá đất cụ thể phục vụ cho GPMB, đấu giá đất </t>
    </r>
    <r>
      <rPr>
        <i/>
        <sz val="11"/>
        <color indexed="8"/>
        <rFont val="Times New Roman"/>
        <family val="1"/>
      </rPr>
      <t/>
    </r>
  </si>
  <si>
    <t xml:space="preserve">Năm 2018 mới rút về 40 triệu đồng; thực tế đã chi Tổ điều tra, khảo sát 15 triệu đồng, còn lại chi hoạt động khác của phòng </t>
  </si>
  <si>
    <t>Kinh phí công bố công khai Kế hoạch, bổ sung kế hoạch sử dụng đất (02 đợt đầu năm và bổ sung 06 tháng cuối năm) x 10 vị trí x 3.000.000 đ/tờ = 60.000.000 đ</t>
  </si>
  <si>
    <t>Kinh phí công bố công khai Kế hoạch, bổ sung kế hoạch sử dụng đất (02 đợt đầu năm và bổ sung 06 tháng cuối năm) x 7 vị trí x 3.000.000 đ/tờ = 42 triệu đồng</t>
  </si>
  <si>
    <t>Kinh phí cắm mốc bê tông bằng máy toàn đạc điện tử (phục vụ công tác giao đất, đấu giá đất, cho thuê đất, thu hồi đất)</t>
  </si>
  <si>
    <t>Thực hiện cụ thể theo từng DA (giao cho BQLDA các khu dân cư đưa vào dự toán các công trình để thực hiện)</t>
  </si>
  <si>
    <t>Kinh phí thuê đơn vị đấu giá quyền sử dụng đất</t>
  </si>
  <si>
    <t>Đưa vào dự toán chi đầu tư phát 
triển từ nguồn tiền đất</t>
  </si>
  <si>
    <t>Kinh phí kiểm tra, thanh tra định kỳ đột xuất của phòng và thành lập đoàn của Thị xã</t>
  </si>
  <si>
    <t>Kinh phí phục vụ lấy mẫu phân tích chất lượng nước thải tại các cơ sở sản xuất kinh doanh trên địa bàn phục vụ cho công tác thanh tra, kiểm tra: 10 cơ sở x 5.000.000 đ/cơ sở = 50.000.000 đ</t>
  </si>
  <si>
    <t>6 cơ sở x 5 triệu đồng
 đ/cơ sở = 30 triệu đồng</t>
  </si>
  <si>
    <t>Kinh phí thanh tra, kiểm tra định kỳ, đột xuất của phòng và thành lập đoàn của thị xã</t>
  </si>
  <si>
    <t>7.4</t>
  </si>
  <si>
    <t>Kinh phí của Hội đồng xét duyệt chế độ miễn giảm, tiền sử dụng đất cho người có công với cách mạng</t>
  </si>
  <si>
    <t>Duyệt chi tiết cụ thể dự toán sau</t>
  </si>
  <si>
    <t>Tiền lương, phụ cấp CV, BL, TNVK (13 đ/c)</t>
  </si>
  <si>
    <t xml:space="preserve">Tiền tết: 11 người ( 01 trưởng x 5 triệu; 01 phó x 4,5 triệu; 11đ/cx 4 triệu); </t>
  </si>
  <si>
    <t>Lương hợp đồng bảo vệ 01 người x 3.000.000 * 12 tháng</t>
  </si>
  <si>
    <t>Tiền đi học tập kinh nghiệm 11 người x 2 triệu đồng/người</t>
  </si>
  <si>
    <t>Tiền các ngày lễ ( 30/4-1/5; 02/9/; tết dương lịch; ngày thành lập ngành, ngày giỗ tổ HV: 11 người x 300 nghìn đồng/ người x 5 ngày)</t>
  </si>
  <si>
    <t>Kinh phí thực hiện các mô hình  và  khảo nghiệm giống cây trồng UDKHKT</t>
  </si>
  <si>
    <t>Phân bổ kinh phí khi các nội dung thực hiện được sự thống nhất của lãnh đạo UB, phòng Kinh tế và yêu cầu TT báo cáo đánh giá kết quả thực hiện các mô hình của năm 2017, 2018</t>
  </si>
  <si>
    <t>Giao nhiệm vụ chi trong nguồn thu hoạt động SN</t>
  </si>
  <si>
    <t>Chi mua máy tính xách tay đ/c Hùng đội trưởng</t>
  </si>
  <si>
    <t>Thay thế sửa chữa cân điện tử (nợ của năm 2017 trong năm 2018 chưa bố trí kinh phí)</t>
  </si>
  <si>
    <t>Đồng phục (15 bộ quần áo, 9 áo phao mua đồng, 13 logo)</t>
  </si>
  <si>
    <t>Giao thu, giao chi thu phí và trích lục bản đồ</t>
  </si>
  <si>
    <t>Kinh phí thực hiện kiểm kê đất đai năm 2019</t>
  </si>
  <si>
    <t xml:space="preserve">Khi thực hiện tính cụ thể chi phí 
và cấp phát kinh phí </t>
  </si>
  <si>
    <t>Kinh phí thu gom, xử lý rác thải, tiền điện chiếu sáng công cộng, chăm sóc cây cảnh đường phố năm 2019</t>
  </si>
  <si>
    <t>Hợp đồng bảo vệ 1 người x 3 triệu đồng</t>
  </si>
  <si>
    <t>Bồi dưỡng kiến thức TN nhập ngũ, thời gian 02 ngày:
 + In, mua tài liệu: 15.000 đ/bộ x 50 bộ = 750.000 đ.
 + Trả tiền giảng viên: 600.000 đ/buổi x 4 buổi = 2.400.000 đ.
 + Ra đề kiểm tra: 80.000 đề x 2 đề = 160.000 đ
 + Chấm bài 9.000 đ/bài x 50 bài = 450.000 đ
 + Chế độ học viên: 100.000 đ/ngày/người x 50 người x 2 ngày = 10.000.000 đ/ngày
 + Nước uống học viên: 500.000 đ
 + Nước uống giảng viên: 40.000 đ
 + Makets, điện, nước, pin mic: 1.000.000 đ
 + In giấy chứng nhận: 10.000 đ/tờ x 50 người: 1000.000 đ
 + Quà học viên xuất sắc: 200.000 đ/suất x 5 suất: 1.000.000 đ;
 + Chi các hoạt động quản lý lớp học: 1.000.000 đ</t>
  </si>
  <si>
    <t>Bồi dưỡng kiến thức TN nhập ngũ, thời gian 02 ngày:
 + In, mua tài liệu: 15.000 đ/bộ x 50 bộ = 750.000 đ.
 + Trả tiền giảng viên: 600.000 đ/buổi x 4 buổi = 2.400.000 đ.
 + Ra đề kiểm tra: 80.000 đề x 2 đề = 160.000 đ
 + Chấm bài 9.000 đ/bài x 50 bài = 450.000 đ
 + Chế độ học viên: 50.000 đ/ngày/người x 50 người x 2 ngày = 5.000.000 đ/ngày
 + Nước uống học viên: 500.000 đ
 + Nước uống giảng viên: 40.000 đ
 + Makets, điện, nước, pin mic: 1.000.000 đ
 + In giấy chứng nhận: 10.000 đ/tờ x 50 người: 1000.000 đ
 + Quà học viên xuất sắc: 200.000 đ/suất x 5 suất: 1.000.000 đ;
 + Chi các hoạt động quản lý lớp học: 1.000.000 đ</t>
  </si>
  <si>
    <t xml:space="preserve">Tập huấn nghiệp vụ công tác Đảng: tổ chức, kiểm tra, dân vận, tuyên giáo, VP cấp uỷ (05 lớp ):
 + in, mua tài liệu: 15.000 đ/bộ x 100 bộ x 5 lớp =7.500.000 đ;
 + Tiền giảng viên, báo cáo viên: 600.000đ/buổi x 4 buổi x 5 lớp  = 4.800.000 đ;
 + Chế độ học viên 100.000 đ/người/ngày x 100 người x 2 ngày x 5 lớp = 100.000.000 đ;
 + Nước uống học viên: 5000 đ/người/ngày x 100 người x 2 ngày x 5 lớp = 5.000.000 đ;
 + Maket, tiền điện, nước, phấn, mich = 5.000.000 đ;
 + Chi các hoạt động quản lý trực tiếp lớp học 5.000.000 đ; </t>
  </si>
  <si>
    <t xml:space="preserve">Hỗ trợ mỗi lớp 10 triệu đồng x 5 lớp </t>
  </si>
  <si>
    <t>Hội nghị báo cáo viên Thị ủy (12 cuộc)
 + In, mua tài liệu: 15.000 đ/bộ x 81 bộ x 12 cuộc = 14.580.000 đ.
 + Tiền giảng viên, báo cáo viên: 600.000 đ/buổi x 12 cuộc = 7.200.000 đ.
 + Maket, điện nước, pin micro, vệ sinh:  500.000 đ/cuộc x 12 cuộc = 6.000.000 đ
 + Hỗ trợ các Đ/c bí thư chi bộ thôn, TDP 52 người x 50.000 đ/cuộc x 12 cuộc = 31.200.000 đ</t>
  </si>
  <si>
    <t>Hội nghị báo cáo viên Thị ủy (12 cuộc)
 + In, mua tài liệu: 10.000 đ/bộ x 81 bộ x 12 cuộc = 9.720.000 đ.
 + Tiền giảng viên, báo cáo viên: 600.000 đ/buổi x 12 cuộc = 7.200.000 đ.
 + Maket, điện nước, pin micro, vệ sinh:  500.000 đ/cuộc x 12 cuộc = 6.000.000 đ
 + Hỗ trợ các Đ/c bí thư chi bộ thôn, TDP 52 người x 50.000 đ/cuộc x 12 cuộc = 31.200.000 đ</t>
  </si>
  <si>
    <t>Tập huấn đội ngủ giãng viên kiêm chức 5 ngày tại Hà Tĩnh:
 + Tiền xe đi và về: 1.000.000 đ/lượt x 2 lượt:  2.000.000 đ
 + Phụ cấp lưu trú: 200.000 đ/ngày/người x 5 ngày x 13 người: 13.000.000 đ
 + Tiền thuê phòng nghĩ: 300.000 đ/ngày x 5 ngày x 7 phòng: 10.500.000 đ</t>
  </si>
  <si>
    <t>Tập huấn đội ngủ giãng viên kiêm chức 5 ngày tại Hà Tĩnh:
 + Tiền xe đi và về: 1.000.000 đ/lượt x 2 lượt:  2.000.000 đ
 + Phụ cấp lưu trú: 150.000 đ/ngày/người x 5 ngày x 13 người: 9.750.000 đ
 + Tiền thuê phòng nghĩ: 300.000 đ/ngày x 5 ngày x 7 phòng: 10.500.000 đ</t>
  </si>
  <si>
    <t>Hỗ trợ đi học CC lý luận chính trị, QLNN theo QĐ 15 của UBND tỉnh:
 + Hỗ trợ học cao cấp CT tại TW: 02 người x 7.000.000 đ/người = 14.000.000 đ.
 + Hỗ trợ học cấp CT trong tỉnh: 05 người x 5.000.000 đ/người = 25.000.000 đ
 + Hỗ trợ đi học QLNN từ 1 tháng trở lên: 5 người x 2.000.000 đ/người</t>
  </si>
  <si>
    <t>Sử dụng trong kinh phí đạo tạo theo định mức ngân sách thị xã được hưởng bố trí cho TT: 410 triệu đồng, do Ban tuyên giáo tỉnh phân bổ</t>
  </si>
  <si>
    <t>Tổ chức các lớp đối tượng đảng, đảng viên mới, tập huấn chuyên đề:
 + 02 lớp bồi dưỡng đối tượng đảng, thời gian mỗi lớp 5 ngày: 22.700.000 đ
 + 02 lớp bồi dưỡng LLCT dành cho đảng viên mới: thời gian mỗi lớp 10 ngày: 48.660.000 đ.
 + 06 lớp tập huấn nghiệp vụ cho các đoàn thể: mặt trận, thị đoàn, hội CCB, hội PN, Hội ND, LĐLĐ, thời gian mỗi lớp 02 ngày: 167.400.000 đ.
 + 01 lớp tập huấn nghiệp vụ thôn trưởng, TDP, bí thư, chi bộ thôn, TDP. Thời gian 02 ngày, 01 ngày thực tế: 43.360.000 đ.
 + 06 lớp chuyên đề giáo dục LLCT, tuyên truyền các chủ trương, chính sách, thông tin mới của tỉnh, thị xã cho cán bộ hội viên nòng cốt hội Phụ nữ cơ sở. Thời gian mỗi lớp 01 ngày: 88.920.000 đ.
 + 06 lớp chuyên đề giáo dục LLCT, tuyên truyền các chủ trương, chính sách, thông tin mới của tỉnh, thị xã cho cán bộ hội viên nòng cốt hội Nông dân cơ sở: 88.920.000 đ.
 + 03 lớp  chuyên đề giáo dục LLCT, tuyên truyền các chủ trương, chính sách, thông tin mới của tỉnh, thị xã cho cán bộ hội viên nòng cốt hội Cựu chiến binh, thời gian mỗi lớp 01 ngày: 44.460.000 đ.
 + 01 lớp sơ cấp lý luận chính trị 30 ngày cả học tập và đi thực tế: 129.880.000 đ.</t>
  </si>
  <si>
    <t xml:space="preserve">Hội thi báo cáo viên giỏi Thị xã lần thứ III:
 + Hoa cờ lưu niệm: 29 người x 250.000 đ/người = 7.250.000 đ
 + Khung, giấy chứng nhận đạt giải: 50.000 đ x 12 giải = 600.000 đ
 + Giải thưởng:  + Giải thưởng:  7.700.000 đ, bao gồm : 01 giải xuất sắc x 1.500.000 đ/giải; 02 giải nhì x 800.000 đ = 1.600.000 đ; 03 giải ba x700.000 đ = 2.100.000 đ; 05 giải khuyến khích  x 500.000 đ/giải = 2.500.000 đ;
 + Hoạt động của Ban tổ chức (8 người); Ban giám khảo (5 người): 6.500.000 đ
 + Chương trình văn nghệ chào mừng: 10.000.000 đ
 + Chi phí khác: 5.000.000 đ
</t>
  </si>
  <si>
    <t>Hội thi báo cáo viên giỏi Thị xã lần thứ III:
 + Hoa cờ lưu niệm: 0
 + Khung, giấy chứng nhận đạt giải: 50.000 đ x 12 giải = 600.000 đ
 + Giải thưởng:  5.400.000 đ, bao gồm : 01 giải xuất sắc x 1.000.000 đ/giải; 02 giải nhì x 700.000 đ = 1.400.000 đ; 03 giải ba x 500.000 đ = 1.500.000 đ; 05 giải khuyến khích  x 300.000 đ/giải = 1.500.000 đ;
 + Hoạt động của Ban tổ chức (8 người); Ban giám khảo (5 người): 6.500.000 đ.
 + Chương trình văn nghệ chào mừng: 6.000.000 đ
 + Chi phí khác: 1.500.000 đ</t>
  </si>
  <si>
    <t>Đi tập huấn các chuyên đề do Ban tuyên giáo TW tổ chức</t>
  </si>
  <si>
    <t>Khi phát sinh sẽ phân bổ từ chi
 khác để thực hiện NV</t>
  </si>
  <si>
    <t>Mua sắm tài sản cố định:
 + Mua 01 tủ đựng tài liệu, 01 bộ bàn,  ghế làm việc: 20 triệu đồng;
 + Mua 01 bộ loa máy phòng học: 50 triệu đồng;
 + Mua một máy điều hóa phòng học: 12 triệu đồng.</t>
  </si>
  <si>
    <t>Thực hiện theo DA ngân sách tỉnh 
hỗ trợ</t>
  </si>
  <si>
    <t>Tiền lương, phụ cấp CV, BL, TNVK (9 đ/c)</t>
  </si>
  <si>
    <t xml:space="preserve">* Cán bộ hợp đồng </t>
  </si>
  <si>
    <t>Lương hợp đồng (01đ/c)</t>
  </si>
  <si>
    <t>3.1</t>
  </si>
  <si>
    <t>Bảo vệ 2 người (tại Nhà văn hóa  3.000.000đ/tháng *12 tháng; tại TTVH cũ 2 triệu đồng/tháng x 12 tháng)</t>
  </si>
  <si>
    <t>Hỗ trợ kinh phí đi học tập kinh nghiệm 10 người x 2 triệu đồng/người</t>
  </si>
  <si>
    <t>Giao nhiệm vụ chi trong nguồn thu 
hoạt động SN</t>
  </si>
  <si>
    <t>Tiền các ngày lễ ( 30/4-1/5; 02/9/; tết dương lịch; ngày thành lập ngành, ngày giỗ tổ HV: 10 người x 300 nghìn đồng/ người x 5 ngày)</t>
  </si>
  <si>
    <t>3.2</t>
  </si>
  <si>
    <t>150 cái x115 nghìn đ/cái = 17,250 
triệu đồng</t>
  </si>
  <si>
    <t xml:space="preserve">Tuyên truyền ngày 30/4; 1/5:  
 - 6 băng x 950.000 đ/băng = 5.700.000 đ
 - In cờ phướn: 80 cái x 130.000 đ/cái = 10.400.000 đ; 60 cái x 100.000 đ/cái = 6.000.000 đ.
 - </t>
  </si>
  <si>
    <t xml:space="preserve"> 6 bằng x 950.000 đ/băng</t>
  </si>
  <si>
    <t>Tuyên truyền ngày 19/8; 02/9, : 
 - 10 băng 1.350.000 đ/băng.
 - In cờ phướn: 80 cái x 130.000 đ/cái = 10.400.000 đ; 60 cái x 100.000 đ = 6.000.000 đ</t>
  </si>
  <si>
    <t xml:space="preserve">6 băng x1.350.000 đ/băng </t>
  </si>
  <si>
    <t>Tuyên truyền lễ giao quân: 5 băng x 300.000 đ/băng</t>
  </si>
  <si>
    <t>Mua nứa làm cán cờ hồng kỳ: 200 cán x 11.000 đ/cái</t>
  </si>
  <si>
    <t xml:space="preserve">Khi thực hiện NV sẽ cấp phát KP </t>
  </si>
  <si>
    <t xml:space="preserve">Đai treo cờ trên các tuyến đường: 280 cái  x 200.000 đ/cái
 (Đường 8A 120 cái; đường 3/2 120 cái; đường Sử Hy Nhan 40 cái) </t>
  </si>
  <si>
    <t>Hoạt động văn hoá, văn nghệ:</t>
  </si>
  <si>
    <t>Văn nghệ giao quân năm 2019</t>
  </si>
  <si>
    <t xml:space="preserve"> Chi mua bàn ghế trường: 
  + Bàn hội trường gỗ dỗi 2m x 0,5: 8 cái x 5.500.000 đ = 44 triệu đồng.
  + Ghế Xuân hòa: 15 cái x 340.000 đ = 5,1 triệu đồng.</t>
  </si>
  <si>
    <t xml:space="preserve">Giao nhiệm vụ chi trong nguồn thu hoạt động SN  </t>
  </si>
  <si>
    <t>Chi trả tiền điện phát thanh Thị xã (1.200.000 đồng/ tháng x 12T)</t>
  </si>
  <si>
    <t xml:space="preserve">  800.000 đ/tháng x 12T</t>
  </si>
  <si>
    <t xml:space="preserve">Thuê bảo vệ cơ quan 2.000.000 đ/tháng x 12 T </t>
  </si>
  <si>
    <t>Sữa chữa, bảo trì hệ thống loa không dây</t>
  </si>
  <si>
    <t>Mua bộ lưu trữ tủ KT số 32T</t>
  </si>
  <si>
    <t>Mic Cro phòng thu (2 cái)</t>
  </si>
  <si>
    <t>Máy tính xách tay kế toán</t>
  </si>
  <si>
    <t>Camera SoNY PW- 60 (02 cái)</t>
  </si>
  <si>
    <t>Giao thu, giao chi hoạt động SN</t>
  </si>
  <si>
    <t>Duyệt dự toán thu, chi chi tiết</t>
  </si>
  <si>
    <t>1.1</t>
  </si>
  <si>
    <t>Chi lương, phụ cấp, các khoản đóng nộp và chi thường xuyên</t>
  </si>
  <si>
    <t>* Cán bộ, viên chức Trung tâm</t>
  </si>
  <si>
    <t xml:space="preserve">  - Quỹ lương </t>
  </si>
  <si>
    <t xml:space="preserve">  - Kinh phí thường xuyên</t>
  </si>
  <si>
    <t>* Viên chức, cán bộ  hợp đồng trạm y tế phường, xã</t>
  </si>
  <si>
    <t xml:space="preserve"> - Quỹ lương viên chức (26 đ/c)</t>
  </si>
  <si>
    <t>Tiền lương, phụ cấp CV, BL, TNVK</t>
  </si>
  <si>
    <t xml:space="preserve"> - Quỹ lương cán bộ Hợp đồng (02 đ/c)</t>
  </si>
  <si>
    <t xml:space="preserve"> - Chi hoạt động TX</t>
  </si>
  <si>
    <t>1.2</t>
  </si>
  <si>
    <t>Hỗ trợ kinh phí đi học tập kinh nghiệm 23 người x 2 triệu đồng/người</t>
  </si>
  <si>
    <t>Tiền công bảo vệ 3.000.000 đồng/tháng *12</t>
  </si>
  <si>
    <t xml:space="preserve">Mua máy vi tính: máy tính để bàn 3 bộ x 8.500.000 đ; máy tính xách tay kế toán 01 bộ 15.000.000 đ </t>
  </si>
  <si>
    <t>Bố trí 01 máy vi tính kế toán</t>
  </si>
  <si>
    <t>Mua bàn ghế phòng họp (hiện tại ghế đã bị gãy, hỏng đang mượn của cơ sở methadon)</t>
  </si>
  <si>
    <t>Mua điều hòa phòng Giám đốc, khoa dịch tễ 02 cái x 12.500.000 đ/cái</t>
  </si>
  <si>
    <t>Sửa chữa máy máy thiết bị dùng cho chuyên môn</t>
  </si>
  <si>
    <t>Trong định mức chi TX của đơn vị</t>
  </si>
  <si>
    <t>Trung tâm Dân số - KHHGĐ</t>
  </si>
  <si>
    <t>Tiền lương, phụ cấp CV, BL, TNVK (04 đ/c)</t>
  </si>
  <si>
    <t>Tiền tết 04 đ/c  ( 01 phó x 4,5 triệu;  3 đ/c x 4 triệu  )</t>
  </si>
  <si>
    <t>Tiền các ngày lễ ( 30/4-1/5; 02/9/; tết dương lịch; ngày thành lập ngành, ngày giỗ tổ HV 4 người x 300 nghìn đồng/ người x 5 ngày)</t>
  </si>
  <si>
    <t>Kinh phí tham quan HTKN: 4 đ/c x 2 triệu</t>
  </si>
  <si>
    <t>Kinh phí đảm bảo các chế độ xã hội khác:
   - Quà tết cho các đối tượng BTXH: 25 triệu đồng.
   - Kinh phí kiểm tra, thuê xe đưa đối tượng vào TTBTXH: 20 triệu đồng.
   - Tập huấn chính sách BTXH: 20 triệu đồng.
  - Kinh phí kiểm tra, rà soát đối tượng BTXH: 20 triệu đồng</t>
  </si>
  <si>
    <t>Kinh phí đảm bảo các chế độ xã hội khác:
   - Quà tết cho các đối tượng BTXH: 25 triệu đồng.
   - Kinh phí kiểm tra, thuê xe đưa đối tượng vào TTBTXH: 20 triệu đồng.
   - Tập huấn chính sách BTXH: 10 triệu đồng.
     - Kinh phí kiểm tra, rà soát đối tượng BTXH: 10 triệu đồng</t>
  </si>
  <si>
    <t xml:space="preserve">Kinh phí hđ người có công:
   - Lương quản trang Nghĩa trang liệt sỹ: 2 người x  2,2 triệu đ x 12T = 52,8 triệu đồng.
   - Chi phí chăm sóc, tu bổ Nghĩa trang liệt sỹ: 20 triệu đồng.
   - Kinh phí phục vụ công tác đón Hài cốt Liệt sỹ: 50 triệu đồng.
   - Kinh phí lễ thắp nến tri ân nhân kỷ niệm 27/7; quà 27/7; quà tết: 30 triệu đồng.
   - Kinh phí đưa người có công đi điều dưỡng tập trung: 30 triệu đồng.
   - Kinh phí đoàn lãnh đạo thị xã đi dâng hương các NTLS: 70 triệu đồng
   - Chi khác: 10 triệu đồng.
 </t>
  </si>
  <si>
    <t xml:space="preserve">Kinh phí hđ người có công:
   - Lương quản trang Nghĩa trang liệt sỹ: 2 người x  2,0 triệu đ x 12T = 48 triệu đồng.
   - Chi phí chăm sóc, tu bổ Nghĩa trang liệt sỹ: 20 triệu đồng.
   - Kinh phí phục vụ công tác đón Hài cốt Liệt sỹ: 50 triệu đồng.
   - Kinh phí lễ thắp nến tri ân nhân kỷ niệm 27/7; quà 27/7; quà tết: 30 triệu đồng.
   - Kinh phí đưa người có công đi điều dưỡng tập trung: 30 triệu đồng.
   - Kinh phí đoàn lãnh đạo thị xã đi dâng hương các NTLS: 70 triệu đồng
 </t>
  </si>
  <si>
    <t>Bảo vệ chăm sóc trẻ em: 
 - Tháng hành động vì trẻ em: 10 triệu đồng.
 - Tổ chức Trung thu cho trẻ em có HCKK: 10 triệu đồng.
 - Diễn đàn trẻ em: 10 triệu đồng
 - Tập huấn nghiệp vụ công tác BVCSTE: 10 triệu đồng</t>
  </si>
  <si>
    <t>Bảo vệ chăm sóc trẻ em: 
 - Tháng hành động vì trẻ em: 0 triệu đồng. (quỹ bảo vệ CSTE)
 - Tổ chức Trung thu cho trẻ em có HCKK: 10 triệu đồng.
 - Diễn đàn trẻ em: 0 triệu đồng
 - Tập huấn nghiệp vụ công tác BVCSTE: 5 triệu đồng</t>
  </si>
  <si>
    <t>An toàn vệ sinh lao động và phòng chống cháy nổ: 
 - Tổ chức tuần lễ quốc gia VSATLĐ-PCCN: 20 triệu đồng.
 - Tập huấn: 10 triệu đồng.
 - Phục vụ kiểm tra công tác ATVSLĐ: 10 triệu đồng.</t>
  </si>
  <si>
    <t>An toàn vệ sinh lao động và phòng chống cháy nổ: 
 - Tổ chức tuần lễ quốc gia VSATLĐ-PCCN: 10 triệu đồng.
 - Tập huấn: 5 triệu đồng.
 - Phục vụ kiểm tra công tác ATVSLĐ: 5 triệu đồng.</t>
  </si>
  <si>
    <t>Phòng chống tệ nạn xã hội: 
 - Tập huấn tuyên truyền: 15 triệu
 - Đưa đối tượng đi cai nghiện: 5 triệu đồng.
 - Chi phục vụ kiểm tra phòng chống tệ nạn mại dâm:2 triệu đồng</t>
  </si>
  <si>
    <t>Lao động việc làm - Dạy nghề:
 - Tập huấn điều tra cung cầu LĐ: 10 triệu đồng.
 - Hỗ trợ điều tra lao động, XK LĐ: 20 triệu đồng.
 - Hỗ trợ điều tra tiền lương, việc làm của DN: 3 triệu đồng.
 - Điều tra thông tin thất nghiệp: 3 triệu đồng
 - Giải quyết việc làm - XK lao động: 5 triệu đồng
 - Phân luồng học sinh sau đào tạo: 5 triệu đồng
 - Giám sát các lớp dạy nghề: 5 triệu đồng</t>
  </si>
  <si>
    <t>Công tác giảm nghèo : 
 - Quà tết cho người nghèo: 30 triệu đồng;
 - Điều tra rà soát hộ nghèo: 10 triệu đồng.
 - Điều tra hộ sx nông - lầm - ngư nghiệp có mức sống trung bình: 10 triệu đồng
 - Quản lý giám sát quỹ Bê giống Vincom: 10 triệu đồng</t>
  </si>
  <si>
    <t>Công tác giảm nghèo : 
 - Quà tết cho người nghèo: 30 triệu đồng;
 - Điều tra rà soát hộ nghèo: 10 triệu đồng.
 - Điều tra hộ sx nông - lầm - ngư nghiệp có mức sống trung bình: 10 triệu đồng
 - Quản lý giám sát quỹ Bê giống Vincom: 0 triệu đồng</t>
  </si>
  <si>
    <t xml:space="preserve">Công tác bình đẳng giới:
 - Tập huấn nghiệp vụ và nâng cao hoạt động BĐG: 10 triệu đồng;
 - Kiểm tra, đôn đốc các hoạt động BĐG: 10 triệu đồng;
 - Tổ chức tháng hành động vì bình đẳng giới: 10 triệu đồng;
</t>
  </si>
  <si>
    <t xml:space="preserve">Mua 01 bộ bàn ghế </t>
  </si>
  <si>
    <t>Theo quy định định mức mua một bộ bàn ghế làm việc 5 triệu đồng</t>
  </si>
  <si>
    <t xml:space="preserve"> Huấn luyện DQTV  theo Luật QDTV
  - Huấn luyện chiến sỹ dân quân năm thứ nhất do BCHQS thị xã Huấn luyện: 147,780 triệu đồng
           +  Tiền ăn 60 đ/c x 53.000 đ/người x 15 ngày = 47,7 triệu đồng;
           +  Tiền hỗ trợ ngày công lao động 60 đ/c x 111.200 đ/người x 15 ngày = 100,08 triệu đồng;
  - Huấn luyện Dân quân thị xã quản lý: 424,531 triệu đồng;
           + Tiền ăn 178 đ/c x 12 ngày x 53.000 đ/người = 113,208 triệu đồng
           + Hỗ trợ ngày công lao động: 178 đ/c x 12 ngày x 111.200 đ/người = 237,523 triệu đồng;
           + Bồi dưỡng giáo viên huấn luyện: 20 đ/c x 100.000 đ/người = 2 triệu đồng;
           + Tu sữa thao trường: 48 triệu đồng;
           + Đảm bảo vật chất cho lễ khai mạc, bế mạc: 6 triệu đồng;
  - Chỉ đạo huấn luyện DQ xã, phường: 27 triệu đồng;
           + Theo dõi chỉ đạo huấn luyện dân quân + tự vệ: 12 triệu đồng ;
           + Tổ chức hội thao 3 đợt: 15 triệu đồng.</t>
  </si>
  <si>
    <t xml:space="preserve"> Huấn luyện DQTV  theo Luật QDTV
  - Huấn luyện chiến sỹ dân quân năm thứ nhất do BCHQS thị xã Huấn luyện: 98,520 triệu đồng
           +  Tiền ăn 60 đ/c x 53.000 đ/người x 10 ngày = 31,8 triệu đồng;
           +  Tiền hỗ trợ ngày công lao động 60 đ/c x 111.200 đ/người x 10 ngày = 66,72 triệu đồng;
  - Huấn luyện Dân quân thị xã quản lý: 245.820 triệu đồng;
           + Tiền ăn 178 đ/c x 8 ngày x 53.000 đ/người = 75,472 triệu đồng
           + Hỗ trợ ngày công lao động: 178 đ/c x 8 ngày x 111.200 đ/người = 158,348 triệu đồng;
           + Bồi dưỡng giáo viên huấn luyện: 20 đ/c x 100.000 đ/người = 2 triệu đồng;
           + Tu sữa thao trường: 10 triệu đồng;
           + Đảm bảo vật chất cho lễ khai mạc, bế mạc: 6 triệu đồng;
  - Chỉ đạo huấn luyện DQ xã, phường: 0 triệu đồng;
           + Theo dõi chỉ đạo huấn luyện dân quân + tự vệ: 0 triệu đồng ;
           + Tổ chức hội thao 3 đợt: 0 triệu đồng.</t>
  </si>
  <si>
    <t>Tổ chức lễ ra quân huấn luyện . 
        + Khán đài, trang trí: 15 triệu đồng;
        + Văn nghệ: 5 tiết mục x 2 triệu đồng/ tiết mục = 10 triệu đồng;
        + Loa máy: 2 triệu đồng;
        + Maket, hoa, thuê bàn ghế, nước uống, đài lửa: 8 triệu đồng;</t>
  </si>
  <si>
    <t>Tổ chức lễ ra quân huấn luyện . 
        + Khán đài, trang trí: 10 triệu đồng;
        + Văn nghệ: 4 tiết mục x 2 triệu đồng/ tiết mục = 8 triệu đồng;
        + Loa máy: 2 triệu đồng;
        + Maket, hoa, thuê bàn ghế, nước uống, đài lửa: 5 triệu đồng;</t>
  </si>
  <si>
    <t xml:space="preserve">Giáo dục Quốc phòng cho các đối tường ( KP bồi dưỡng kiến thức Quốc phòng 250 đ/c ) </t>
  </si>
  <si>
    <t>Huấn luyện dự bị động viên ( 01 đại đội 110 đ/c thời gian 15 ngày)
  + Chi trả chế độ tiền ăn cho các chức danh theo quy định pháp lệnh DBĐV: 378,293 triệu đồng;
  + Chi phí đảm bảo các điều kiện: (phúc tra kiểm tra hiệp đồng huấn luyện; quân trang; kiểm tra sức khỏe; đảm bảo cơ sở vật chất thao trường huấn luyện...)</t>
  </si>
  <si>
    <t>Diễn tập chiến đấu trị an (mỗi năm 2 đợt)</t>
  </si>
  <si>
    <t>Tổ chức lưc lượng DQTV tham gia hội thi ở tỉnh và QK
  + Kinh phí tham dự thi ở tỉnh: 40 triệu đồng;
  + Kinh phí tham dự thi ở QK: 23 triệu đồng.</t>
  </si>
  <si>
    <t>Tuyển, giao quân năm 2019</t>
  </si>
  <si>
    <t>Tổng điều tra dự bị động viên theo chỉ thị 78 của Bộ QP; hướng dẫn 858 của Bộ TTM:
 1080 đ/c x 80.000 đ/người</t>
  </si>
  <si>
    <t xml:space="preserve">Huấn luyện Quân nhân dự bị động viên năm 2018 </t>
  </si>
  <si>
    <t>Đảm bảo Dân quân trực SSCĐ các ngày lễ tết, cơ động: 210,8 triệu đồng;
   + Trung đội cơ động trực lễ tết: 31 đ/c x 25 ngày x 170.000 đ = 131,750 triệu đồng;
   + Trung đội cơ động trực cơ động: 31 đ/c x 15 ngày x 170.000 đ = 79,050 triệu đồng</t>
  </si>
  <si>
    <t>Chi tuần tra đảm bảo ANTT các ngày lễ, tết, các sự kiện chính trị</t>
  </si>
  <si>
    <t xml:space="preserve">Tập huấn điều lệnh võ thuật, cho công an </t>
  </si>
  <si>
    <t>Chi văn phòng phẩm</t>
  </si>
  <si>
    <t>Hỗ trợ thêm vì đã có kinh phí
 chi ngành</t>
  </si>
  <si>
    <t>Chi xăng dầu tuần tra</t>
  </si>
  <si>
    <t>Chi băng rôn, khẩu hiệu tuyên truyền</t>
  </si>
  <si>
    <t>Chi họp sơ kết, tổng tổng kết công tác công an</t>
  </si>
  <si>
    <t xml:space="preserve">Chi họp sơ kết, tổng kết công tác Bảo vệ dân phố, công an xã </t>
  </si>
  <si>
    <t>Chi truy quét phòng chống tội phạm đảm bảo ANTT</t>
  </si>
  <si>
    <t>Chi xét duyệt bắt giữ, dẫn giải đối tượng vào trại giáo dưỡng - cơ sở GD</t>
  </si>
  <si>
    <t>Chi thực hiện đảm bảo ANTT giải phóng mặt bằng các công trình dự án trên địa bàn</t>
  </si>
  <si>
    <t xml:space="preserve">Hỗ trợ thực hiện các Đề án về ANTT </t>
  </si>
  <si>
    <t>Cụ thể các đề án ANTT do các Ban chỉ đạo trình UBND thị xã thực hiện</t>
  </si>
  <si>
    <t xml:space="preserve">Lắp đặt camera tại ngã tư thị xã, công an thị xã, ngã tư Đậu Liêu </t>
  </si>
  <si>
    <t>Đã có ý kiến của Thường trực Thị ủy, TTHĐND, lãnh đạo UBND thị xã</t>
  </si>
  <si>
    <t>HỖ TRỢ HOAT ĐỘNG CỦA KHỐI NỘI CHÍNH VÀ CÁC CƠ QUAN (Viện kiểm sát; Tòa án, Thi hành án,Kho bạc, Kiểm lâm, Phòng cháy chữa cháy, Cụm 8, Chi cục thống kê  (8 đơnvị  x 20 triệu đồng/ đơn vị); LĐLĐ:30 triệu đồng; Hội thẩm: 10 triệu đồng.</t>
  </si>
  <si>
    <t xml:space="preserve">CHI THỰC HIỆN NHIỆM VỤ CHƯA PHÂN BỔ CHO CÁC ĐƠN VỊ </t>
  </si>
  <si>
    <t xml:space="preserve">Do chưa có dự toán chi tiết </t>
  </si>
  <si>
    <t xml:space="preserve">Khi phát sinh nhiệm vụ thực hiện 
phân bổ kinh phí </t>
  </si>
  <si>
    <t>Chi cán bộ, công chức, viên chức đi tập huấn dài ngày và các đoàn đi công tác dài 
ngày chưa bố trí dự toán đầu năm</t>
  </si>
  <si>
    <t xml:space="preserve">Chi tiếp các đoàn thanh tra, kiểm toán </t>
  </si>
  <si>
    <t>Kinh phí biên soạn niên gián thống kê 2018</t>
  </si>
  <si>
    <t>Kinh phí thực hiện NQ 18, 19 của BCH TW</t>
  </si>
  <si>
    <t>Kinh phí giỗ tổ Hùng Vương</t>
  </si>
  <si>
    <t>Kinh phi tổ chức kỷ niệm ngày Doanh nhân Việt Nam</t>
  </si>
  <si>
    <t>Kinh phí lặp đặt hệ thống truyền thanh Thị xã và cơ sở</t>
  </si>
  <si>
    <t xml:space="preserve">Kinh phí hỗ trợ xây dựng trạm y tế xanh, sạch, đẹp, an toàn </t>
  </si>
  <si>
    <t>Kinh phi giám sát cộng đồng các công trình tại các phường, xã</t>
  </si>
  <si>
    <t>Kinh phí hỗ trợ nghiên cứu, học tập kinh nghiệm các mô hình SX CN</t>
  </si>
  <si>
    <t>HỖ TRỢ THÀNH LẬP MỚI 2HTX</t>
  </si>
  <si>
    <t>DỰ TOÁN NĂM 2019</t>
  </si>
  <si>
    <t>Trả nợ KP thực hiện hợp đồng năm 2018</t>
  </si>
  <si>
    <t xml:space="preserve">Sự nghiệp Giáo dục </t>
  </si>
  <si>
    <t xml:space="preserve">Chi thực hiện nhiệm vụ chưa phẩn bổ cho các đơn vị </t>
  </si>
  <si>
    <t>Ước thực hiện năm 2018</t>
  </si>
  <si>
    <t>PHÂN BỔ DỰ TOÁN CHI NGÂN SÁCH NHÀ NƯỚC CHO CÁC PHƯỜNG, XÃ NĂM 2019</t>
  </si>
  <si>
    <t xml:space="preserve">Trung Lương </t>
  </si>
  <si>
    <t>Số tiền (1390)</t>
  </si>
  <si>
    <t>Bảo hiểm y tê đại biểu HDĐND</t>
  </si>
  <si>
    <t>2 kỳ họp HĐND</t>
  </si>
  <si>
    <t>Hỗ trợ đóng BHXH (14% phụ cấp được hưởng)</t>
  </si>
  <si>
    <t>Hỗ trợ đóng BHXH cho Bí thư, khối trưởng, xã phường (14% x1.390.000 đ)</t>
  </si>
  <si>
    <t>Hỗ trợ đóng BHYT tự nguyện cho Bí thư, khối trưởng, xã phường</t>
  </si>
  <si>
    <t>Bảo hiểm y tế Người tham gia kháng chiến</t>
  </si>
  <si>
    <t>Tæng hîp thu NSNN cña c¸c ph­êng, x· ®­îc h­ëng n¨m 2019</t>
  </si>
  <si>
    <t>Hồng Lĩnh, ngày     tháng 11 năm 2018</t>
  </si>
  <si>
    <t xml:space="preserve"> - Thu khác do các đơn vị TW đóng trên địa bàn thu</t>
  </si>
  <si>
    <t>Thu NS cấp thị xã hưởng theo phân cấp</t>
  </si>
  <si>
    <t xml:space="preserve">  - Quỹ lương cán bộ y tế học đường chuyển sang trạm y tế phường, xã</t>
  </si>
  <si>
    <t>Tiền lương, phụ cấp (18 đ/c)</t>
  </si>
  <si>
    <t>Các khoản đóng nộp</t>
  </si>
  <si>
    <t xml:space="preserve">Chế độ theo Quyết định của BTV Tỉnh uỷ </t>
  </si>
  <si>
    <t>Dự toán 
Thường trực, Thường vụ duyệt</t>
  </si>
  <si>
    <t>Kinh phí chế độ tiếp xúc cử tri và nghiên cứu tài liêu cho đại biểu theo HĐND theo NQ82/2017/HĐND tỉnh chưa bố trí dự toán năm 2018</t>
  </si>
  <si>
    <t xml:space="preserve">Kinh phí hoạt động tôn giáo </t>
  </si>
  <si>
    <t xml:space="preserve"> - Lễ mít tinh, gặp mặt: 15 triệu đồng.
 - Tổ chức bóng chuyền CCB hoặc giao lưu văn nghệ: 10 triệu đồng 
(hỗ trợ kinh phí một hoạt động).</t>
  </si>
  <si>
    <t xml:space="preserve">Triển khai và chỉ đạo phòng chống bệnh gia súc, gia cầm: (Tổ chức họp mời Bí thư, tổ trưởng, thôn trưởng các TDP).
   + Tiền nước uống, maket, hội trường: 1.000.000 đồng.
   + Phát tiền cho đại biểu không hưởng lương NSNN: 120 đại biểu x 50.000 đ/người = 6.000.000 đồng.
   + Tài liệu: 3.000.000 đồng.
   + Chi phí khác phục vụ công tác triển khai và chỉ đạo phòng chống dịch bệnh: 10 triệu đ </t>
  </si>
  <si>
    <t xml:space="preserve">Hoạt động tập huấn, phổ biến KHKT:
</t>
  </si>
  <si>
    <t>Tập huấn lĩnh vực trồng trọt 03 cuộc * 5 triệu</t>
  </si>
  <si>
    <t>Tập huấn lĩnh vực chăn nuôi thuỷ sản 03 cuộc * 5 triệu</t>
  </si>
  <si>
    <t>Chi lương, phụ cấp, các khoản đóng nộp và  hoạt động các Trường học</t>
  </si>
  <si>
    <t>Hỗ trợ xây dựng CSVC các Trường học</t>
  </si>
  <si>
    <t xml:space="preserve">Các hoạt động thực hiện các chỉ tiêu về DSKHHGĐ do HĐND giao trong Đề án
 + Trao quà cho các cụ có hoàn cảnh khó khăn nhân dịp tết Nguyên Đán: 10 triệu đồng.
 + Tuyên truyền về công tác dân số: 10 triệu đồng.
 + Hội nghị biểu dương các cháu gái chăm ngoan học giỏi và các gia đình sinh con một bề là gái làm kinh tế giỏi: 10,8 triệu đồng.
 + Mít tinh kỷ niệm ngày lễ của ngành: 10 triệu đồng.
 + Hỗ trợ khám cấp thuốc miễn phí cho các cụ có hoàn cảnh khó khăn tại 6 đơn vị phường, xã: 12 triệu đồng.
</t>
  </si>
  <si>
    <t>THỰC HIỆN ĐỀ ÁN TIN HỌC</t>
  </si>
  <si>
    <t>Hỗ trợ kinh phí hoạt động và hụt thu năm 2018</t>
  </si>
  <si>
    <t xml:space="preserve">   Căn cứ dự toán 2019 được cấp trên giao và  kế hoạch năm 2019 của các đơn vị.</t>
  </si>
  <si>
    <t xml:space="preserve">   Căn cứ Thông tư số 54/2018/TT - BTC ngày 08/6/2018 của Bộ Tài chính về việc Hướng dẫn xây dựng dự toán năm 2019;</t>
  </si>
  <si>
    <t xml:space="preserve">   Căn cứ Nghị quyết số 28/2016/NQ - HĐND ngày 15/12/2016 của HĐND tỉnh và Quyết định số 58/2016/QĐ - UBND ngày 29/12/2016 của UBND tỉnh và các chế độ chi khác theo quy định hiện hành;</t>
  </si>
  <si>
    <t>Mua cặp lưu tài liệu nhằm đồng bộ hóa hình thức lưu trữ, hồ sơ</t>
  </si>
  <si>
    <t>Cấp phát KP khi có mô hình cụ thể</t>
  </si>
  <si>
    <t>Do nhu cầu công việc phòng đã thực hiện mua năm 2018, xin bố trí KP trả nợ</t>
  </si>
  <si>
    <t>Kiến thiết thị chính</t>
  </si>
  <si>
    <t>Chi thực hiện đề án tin học</t>
  </si>
  <si>
    <t>Lát vỉa hè và trồng cây xanh đường Nguyễn Ái Quốc, Quang Trung giai đoạn 1 và giai đoạn 2</t>
  </si>
  <si>
    <t>Thanh toán trả nợ các tuyến đường giao thông</t>
  </si>
  <si>
    <t>Hỗ trợ hoạt động của các đơn vị khối nội chính và một số đơn vị khác đóng trên địa bàn</t>
  </si>
  <si>
    <t>Sự nghiệp Văn hóa - Truyền thông</t>
  </si>
  <si>
    <t>Trung tâm Văn hoá - Truyền thông</t>
  </si>
  <si>
    <t>Chi quản lý Hành chính, Đảng, đoàn thể</t>
  </si>
  <si>
    <t>Chi sự nghiệp Y tế và Dân số  KHH gia đình</t>
  </si>
  <si>
    <t>Trung tâm Dân số -KHH Gia đình</t>
  </si>
  <si>
    <t xml:space="preserve">                                               Đơn vị tính: Nghìn đồng</t>
  </si>
  <si>
    <t>Dù to¸n n¨m 2019</t>
  </si>
  <si>
    <t>Thu ngân sách xã, phường</t>
  </si>
  <si>
    <t>cña tõng x·, ph­êng n¨m 2018 vµ dù to¸n n¨m 2019</t>
  </si>
  <si>
    <t>§¬n vÞ tÝnh: Ngh×n ®ång</t>
  </si>
  <si>
    <t xml:space="preserve">     Kinh phí hoạt động website thị xã + phụ cấp BBT cổng TTDT theo QĐ mới</t>
  </si>
  <si>
    <t>1.3</t>
  </si>
  <si>
    <t>1.3.1</t>
  </si>
  <si>
    <t>1.3.2</t>
  </si>
  <si>
    <t>1.3.3</t>
  </si>
  <si>
    <t>NGÂN SÁCH CẤP THỊ XÃ</t>
  </si>
  <si>
    <t xml:space="preserve"> Bổ sung từ ngân sách cấp thị xã</t>
  </si>
  <si>
    <t>Chi ngân sách cấp thị xã</t>
  </si>
  <si>
    <t>Chi nhiệm vụ thuộc NS cấp thị xã theo phân cấp</t>
  </si>
  <si>
    <t>Hång LÜnh, ngµy       th¸ng 12  n¨m 2018</t>
  </si>
  <si>
    <t>So s¸nh(%)</t>
  </si>
  <si>
    <t>SN Văn hóa - Truyền thông</t>
  </si>
  <si>
    <t xml:space="preserve">  ỦY BAN NHÂN DÂN</t>
  </si>
  <si>
    <t xml:space="preserve">  THỊ XÃ HỒNG LĨNH</t>
  </si>
  <si>
    <t>SỰ NGHIỆP VĂN HOÁ - TRUYỀN THANH</t>
  </si>
  <si>
    <t>Hoạt động văn hóa</t>
  </si>
  <si>
    <t>1.3.2.1</t>
  </si>
  <si>
    <t>1.3.2.2</t>
  </si>
  <si>
    <t>1.3.2.3</t>
  </si>
  <si>
    <t>1.3.2.4</t>
  </si>
  <si>
    <t>Cấp phát KP khi thực hiện nhiệm vụ</t>
  </si>
  <si>
    <t xml:space="preserve"> - Hỗ trợ CSVC các trường học trên địa bàn giai đoạn 2018-2020 (xếp theo thứ tự ưu tiên) tại QĐ số 462/QĐ-UBND ngày 28/3/2018 của UBND thị xã</t>
  </si>
  <si>
    <t>Hoạt động Truyền thanh</t>
  </si>
  <si>
    <t xml:space="preserve">Kinh phí trả nợ di chuyển cây lát hoa từ phường ĐL về Vườn ươm và đường Võ Nguyên Giáp; bảo vệ cây lát hoa đường Nguyễn Đổng Chi, đường Võ Nguyên Giáp và trả nợ một số hợp đồng đặt hàng đã thực hiện các năm trước
 </t>
  </si>
  <si>
    <t>2.3.1</t>
  </si>
  <si>
    <t>2.3.2</t>
  </si>
  <si>
    <t>2.3.3</t>
  </si>
  <si>
    <t>Kinh phi hoạt động của BCĐ 94 theo Hướng dẫn 39 của TW Đảng</t>
  </si>
  <si>
    <t xml:space="preserve">KP ngày hội đại đoàn kết toàn dân và kỷ niệm ngày thành lập các MTDTTN: 
  -  Hỗ trợ 52 TDP  x1 triệu đồng = 52 triệu;  tiền hoa: 52 x0,3 triệu đồng 
  </t>
  </si>
  <si>
    <t>Kinh phí hoạt động chung khối dân, đoàn thể</t>
  </si>
  <si>
    <t>Năm 2019</t>
  </si>
  <si>
    <t xml:space="preserve">TÌNH HÌNH THỰC HiỆN DỰ TOÁN THU 10 THÁNG NĂM 2019 CÁC PHƯỜNG, X Ã </t>
  </si>
  <si>
    <t>UTH 
năm 2019</t>
  </si>
  <si>
    <t xml:space="preserve">     </t>
  </si>
  <si>
    <t xml:space="preserve">           Hồng Lĩnh, ngày      tháng 12 năm 2019</t>
  </si>
  <si>
    <t>Dự toán năm 2020</t>
  </si>
  <si>
    <t>Hồng Lĩnh, ngày       tháng 12 năm 2019</t>
  </si>
  <si>
    <t xml:space="preserve"> TiÒn thuª ®Êt</t>
  </si>
  <si>
    <t xml:space="preserve"> Thu kh¸c ng©n s¸ch ThÞ x·</t>
  </si>
  <si>
    <t xml:space="preserve"> Thu kh¸c t¹i x·</t>
  </si>
  <si>
    <t>Thu cấp quyền khai thác KS</t>
  </si>
  <si>
    <t>Dự toán 2020</t>
  </si>
  <si>
    <t>Thu từ sản xuất KD trong nước</t>
  </si>
  <si>
    <t>So sánh UTH2019/ DT 2019 tỉnh giao</t>
  </si>
  <si>
    <t>So sánh UTH2019/ DT 2019 (HĐND thị xã giao)</t>
  </si>
  <si>
    <t>So sánh DT2020/ UTH2019</t>
  </si>
  <si>
    <t>TỔNG HỢP DỰ TOÁN THU NSNN NĂM 2020</t>
  </si>
  <si>
    <t>Tổng thu ngân sách địa phương</t>
  </si>
  <si>
    <t xml:space="preserve">                                           CHỦ TỊCH</t>
  </si>
  <si>
    <t xml:space="preserve">                                            Trần Quang Tuấn</t>
  </si>
  <si>
    <t xml:space="preserve">                                             TM.  ỦY BAN NHÂN DÂN</t>
  </si>
  <si>
    <t xml:space="preserve"> DỰ TOÁN CHI NGÂN SÁCH NHÀ NƯỚC NĂM 2020 </t>
  </si>
  <si>
    <t xml:space="preserve">    - Căn cứ Chỉ thị số 16/CT-TTg ngày 25 tháng 6 năm 2019 của Thủ tướng Chính phủ về xây dựng Kế hoạch phát triển kinh tế - xã hội và Dự toán ngân sách nhà nước năm 2020</t>
  </si>
  <si>
    <t xml:space="preserve">    - Căn cứ Thông tư số 38/2019/TT - BTC ngày 28/6/2019 của Bộ Tài chính về việc Hướng dẫn xây dựng dự toán năm 2020;</t>
  </si>
  <si>
    <t xml:space="preserve">    - Căn cứ Nghị quyết số 28/2016/NQ - HĐND ngày 15/12/2016 của HĐND tỉnh và Quyết định số 58/2016/QĐ - UBND ngày 29/12/2016 của UBND tỉnh và các chế độ chi khác theo quy định hiện hành;</t>
  </si>
  <si>
    <t xml:space="preserve">    - Căn cứ dự toán 2020 được cấp trên giao và  kế hoạch năm 2020 của các đơn vị trình.</t>
  </si>
  <si>
    <t xml:space="preserve">    - Dự toán chi năm 2020 một số chế độ, nhiệm vụ chi tăng, giảm so với dự toán 2019:
       + Tăng lương cơ bản từ 1.390.000 đ lên 1.490.000 đồng theo Nghị định số 38/2019/NĐ-CP ngày 09/5/2019 của Chính Phủ;
       + Tăng hỗ trợ ngày công lao động cho dân quân tự vệ từ 0,04 mức lương cơ sở lên 0,08 mức lương cơ sở theo Luật dân quân tự vệ;
       + Tăng kinh phí trợ giúp hàng tháng đối với hộ nghèo theo quy định tại Nghị quyết số 151/2019/NQ-HĐND ngày 177/2019;
       + Bố trí thêm kinh phí Đại hội Đảng các cấp trên địa bàn thị xã 
       + Tăng mức hỗ trợ tiền tết và hỗ trợ các ngày lễ; 
       + Giảm chi sự nghiệp kinh tế phần chi Văn phòng Đăng ký quyền sử dụng đất (do chuyển về tỉnh quản lý)
       + Giảm chi công nghệ thông tin (do NS tỉnh không bố trí kinh phí).
       + Dự kiến không bố trí kinh phí các lao động hợp đồng theo quy định tại Nghị định 161/2018/NĐ-CP ngày 29/11/2018 của Chính Phủ và Văn bản số 4235/UBND-NC1 ngày 28/6/2019 của UBND tỉnh số tiền 680,871 triệu đồng, trong đó (Đội quản lý trật tự đô thị 8 lao động hợp đồng số tiền 619,725 triệu đồng; Hội chữ thập đổ 01 lao động số tiền 61,146 triệu đồng.
       </t>
  </si>
  <si>
    <t>Hệ số lương, PC năm 2020</t>
  </si>
  <si>
    <t xml:space="preserve">Dự toán đề nghị </t>
  </si>
  <si>
    <t>Tiền lương, phụ cấp CV, BL, TNVK ( 26 đ/c trong biên chế)</t>
  </si>
  <si>
    <t>Tiền lương, phụ cấp (01 lao động hợp đồng)</t>
  </si>
  <si>
    <t>Tiền tết CBCNV 27 đ/c (đ/c TT trực: 02 x 11 tr đ/người; 4 đ/c TV x 8 triệu/đc; 06 CHTU x 6 tr đ/người; 4 phó x 5,5 tr đ/người ; 11 đ/c x 5 tr; 02 bảo vệ x 1 triệu )</t>
  </si>
  <si>
    <t>Tiền các ngày lễ (tết dương lịch; 30/4-1/5; 2/9; ngày thành lập ngành, ngày giỗ tỗ Hùng Vương 27 người x 500 nghìn đ/người x 5 ngày )</t>
  </si>
  <si>
    <t>Phụ cấp cấp uỷ (34 người x 1.490.000 đ x 0,4 x 12T)</t>
  </si>
  <si>
    <t>Chế độ theo Quyết định của BTV Tỉnh uỷ (Thực hiện theo QĐ 744-QĐ/TU)</t>
  </si>
  <si>
    <t>Kinh phí hoạt động của đoàn chỉ đạo của BTV Thị uỷ tại cơ sở (6 đoàn phường, xã x 15 tr.đồng/ đoàn; 2 đoàn cơ quan đơn vị x 10tr đồng/ đoàn; kinh phí các đoàn chỉ đạo chúc mừng các TDP đại hội: 52 x 1.000.000 đ/TDP)</t>
  </si>
  <si>
    <t>Phụ cấp báo cáo viên 29 *0.2*1490</t>
  </si>
  <si>
    <t>Phụ cấp ủy viên các chi bộ doanh nghiệp (11 đ/c x 12T x 1.490.000 đ/tháng x 0,3)</t>
  </si>
  <si>
    <t>Hỗ trợ 04 ban và văn phòng (ban Dân vận; Ủy ban kiểm tra; Ban tổ chức; ban Tuyên giáo, Văn phòng)  5 đơn vị x 50 triệu/ban.</t>
  </si>
  <si>
    <t>Kinh phí gặp mặt các đ/c nguyên là cán bộ Thị xã nghĩ hưu nhân ngày thành lập Đảng và tết Nguyên đán và kỷ niệm 90 năm thành ngày thành lập Đảng</t>
  </si>
  <si>
    <t>Kinh phí phục vụ tiếp công dân</t>
  </si>
  <si>
    <t>Kinh phi đưa các đ/c nguyên lãnh đạo thị xã đi nghĩ dưỡng</t>
  </si>
  <si>
    <t>Kỷ niệm 90 năm ngày truyền thống các ban (Ban Tổ chức, Ban Tuyên giáo, Văn Dân vận, VP)</t>
  </si>
  <si>
    <t>Hỗ trợ may đồng phục cho BCH Thị ủy theo QĐ 744-QĐ/TU (34 đ/c x 1.500.000 đ/đc = 51.000.000 đ)</t>
  </si>
  <si>
    <t xml:space="preserve">Hỗ trợ may đồng phục cho cán bộ cơ quan TU theo QĐ 744-QĐ/TU (26 đ/c x 250.000 đ/đc = 51.000.000 đ) </t>
  </si>
  <si>
    <t>Hỗ trợ may đồng phục cho cán bộ cơ quan TU theo QĐ 744-QĐ/TU (14 đ/c x 1250.000 đ/đc) (trừ cán bộ làm công tác cơ yếu và UVBCH Thị ủy 13 người)</t>
  </si>
  <si>
    <t>Tiền tết ( 02PCT x 7 triệu đồng; 02 phó ban x 5,5 triệu đồng)</t>
  </si>
  <si>
    <t>Tiền các ngày lễ (30/4-1/5; 02/9; tết dương lịch; ngày thành lập ngành, ngày giỗ tổ Hùng Vương 5 ngày x 500 nghìn đồng/ ngày x 4 người</t>
  </si>
  <si>
    <t>Tiếp xúc cử tri ( Hỗ trợ phường, xã trước và sau 66 điểm; tổ đại biểu HĐND thị xã tổ chức TXCT cho đại biểu: 14 điểm) x 1 triệu đồng/ điểm</t>
  </si>
  <si>
    <t>Trong Nghị quyết số 82/2017/NQ-HĐND không quy định nội dung chi này; Thực tế năm 2019 không phát sinh.</t>
  </si>
  <si>
    <t>KP hỗ trợ cán bộ đi công tác, học tập nghiệp vụ (02 phó CT HĐND thị xã đi tập huấn)</t>
  </si>
  <si>
    <t>May trang phục đại biểu HĐND (27 đại biểu x 3 triệu/bộ/người)</t>
  </si>
  <si>
    <t>Kinh phi mua 02 máy in canon x 3,5 triệu đồng + phí thẩm định</t>
  </si>
  <si>
    <t>02 cái x 2.500.000 đ/cái</t>
  </si>
  <si>
    <t>Tiền lương, phụ cấp CV, BL, TNVK, KV(55 đ/c)</t>
  </si>
  <si>
    <t>Tiền lương, phụ cấp lao động hợp đồng (01 đ/c)</t>
  </si>
  <si>
    <t>Các khoản đóng góp 22,5%</t>
  </si>
  <si>
    <t>Tiền tết CBCC Văn phòng: 16 người 
 (01 đ/c TT x 11 tr đồng;  PCTT(TV): 1 x 8 tr; PCT (không TV): 7 triệu; TPx6 tr; PP: 2x5,5 tr; 7x5 tr; 02 bảo vệ x 1,5 triệu đồng/ người; quà đ/c Hồng VT )</t>
  </si>
  <si>
    <t>Đang tính cả đ/c Hồng VT</t>
  </si>
  <si>
    <t>Chúc tết ban tiếp công dân tỉnh</t>
  </si>
  <si>
    <t>Tiền các ngày lễ ( tết dương lịch; ngày 30/4 -1/5; ngày 02/9; ngày thành lập ngành, ngày giỗ tỗ HV: 13 x 500 nghìn đồng/ ngày x5 ngày)</t>
  </si>
  <si>
    <t>Kinh phí đi học tập kinh nghiệm (13 đ/c x 2 tr/đc)</t>
  </si>
  <si>
    <t>Hỗ trợ KP xăng xe đi cơ sở theo chủ trương của TT Thị ủy 12 T x 1.000.000 đ/tháng của đ/c Khanh</t>
  </si>
  <si>
    <t>Chương trình phối hợp tuyên truyền Báo Hà Tĩnh</t>
  </si>
  <si>
    <t>Kinh phí tiếp khách: 350 triệu đồng + Hỗ trợ bếp ăn cơ quan (18 người x 17.000 đ/bậnx22 bận x 12 tháng): 80 triệu đồng.</t>
  </si>
  <si>
    <t>Chuyển về phòng Kinh tế thực hiện nhiệm vụ</t>
  </si>
  <si>
    <t>Mua ấm chén hội trường họp &amp; vậ tư bổ sung nồi chén bát nhà bếp</t>
  </si>
  <si>
    <t>Mua sắm cơ sở vật chất phục vụ hoạt động ủy bản</t>
  </si>
  <si>
    <t xml:space="preserve"> - Kinh phí mua bình lọc nước Kangaroo nóng lạnh tại 02 hội trường họp
 UBND thị xã và sảnh bên các phòng lãnh đạo (4 x 5,5 triệu đồng/cái)
 - Mua máy lọc nước cơ quan (hệ thống đường ống dẫn nước từ cơ quan vào bằng sắt, phải lọc mới nấu nước chè);
 - Mua ghế đ/c Bình: 4,5 triệu đồng.
</t>
  </si>
  <si>
    <t>Kinh phi sơn hàng rào chào mừng ĐH đảng</t>
  </si>
  <si>
    <t>Kinh phí thay lại cổng kéo cơ quan UBND thị xã (đã hư hỏng, không kéo được)</t>
  </si>
  <si>
    <t>Mua phần mềm chữ ký số BHXH giao dịch điện tử Bảo hiểm (2018, 2019)</t>
  </si>
  <si>
    <t>Chi thường xuyên của văn phòng</t>
  </si>
  <si>
    <t xml:space="preserve">Mua chứng thư số giao dịch trực tuyến với KBNN </t>
  </si>
  <si>
    <t>Sửa nhà vệ sinh 06 phòng nhà 03 tầng (06 phòng x 15 triệu đồng/phòng)</t>
  </si>
  <si>
    <t>KP sắp xếp tài liệu lưu trữ</t>
  </si>
  <si>
    <t>KP làm đường nội bộ cơ quan (rải thảm)</t>
  </si>
  <si>
    <t>Chi xây dựng cơ bản</t>
  </si>
  <si>
    <t>KP làm bảng led tuyên truyền trên sảnh cơ quan 8mx 9,8 triệu đồng/m</t>
  </si>
  <si>
    <t xml:space="preserve">Không thực hiện </t>
  </si>
  <si>
    <t>Mua bàn ghế nệm tiếp khách phòng PCT Hồng, PCT bình : 02 bộ x 15 triệu đồng/bộ</t>
  </si>
  <si>
    <t>Kinh phí đi dự họp Hội đồng hương tại TP.HCM</t>
  </si>
  <si>
    <t>Kéo đường dây riêng củ Hệ  thống điều hòa nhà 02  tầng</t>
  </si>
  <si>
    <t>Tiền tết  âm lịch ( 05 đ/c ; 01 trưởng - BTV x 8 triệu; 02 phó x 5,5 tr; 2 x 5 tr)</t>
  </si>
  <si>
    <t>Tiền các ngày lễ (tết dương, 30/4-1/5; 02/9; thành lập ngành, ngày giỗ tổ: 5 ngày x 500 nghìn đồng/ ngày x 5 người)</t>
  </si>
  <si>
    <t>Kinh phí đi tham quan học tập, kinh nghiệm: 5 người x 2 tr đồng/người</t>
  </si>
  <si>
    <t xml:space="preserve">KP tổ chức tổng kết chung công tác mặt trận, đoàn thể chính trị xã hội năm 2019; triển khai phương hướng, nhiệm vụ năm 2020 </t>
  </si>
  <si>
    <t>Tập huấn công tác tôn giáo</t>
  </si>
  <si>
    <t>Sử dụng trong kinh phí hoạt động tôn 
giáo để thực hiện nhiệm vụ</t>
  </si>
  <si>
    <t>Kinh phí giám sát -PBXH theo chuyên đề</t>
  </si>
  <si>
    <t>Đã bố trí ở trên</t>
  </si>
  <si>
    <t>Kinh phí sửa chữa xe ô tô</t>
  </si>
  <si>
    <t xml:space="preserve">Kinh phí họp sơ kết 02 năm ông, bà, cha, mẹ mẫu mực </t>
  </si>
  <si>
    <t>Kinh phí hoạt động chung công tác mặt trận và các đoàn thể</t>
  </si>
  <si>
    <t>Tiền tết CBCNV 3 người (01 trưởng -CHTU x 6 tr; 01 phó x 5,5 tr; 1 người x 5 tr)</t>
  </si>
  <si>
    <t>Tiền các ngày lễ (tết dương, 30/4-1/5; 02/9; thành lập ngành, ngày giỗ tổ HV: 5 ngày x 500 nghìn đồng/ ngày x 3 người)</t>
  </si>
  <si>
    <t>KP hoạt động Hội liên hiệp thanh niên, đội thiếu niên TP:
 - Giải bóng đá thanh niên chào mừng ngày thành lập hội LHTN: 15 triệu đồng
  - Hội nghị tổng kết: 10 triệu đồng
 - Hỗ trợ hoạt động các CLB, tổ, đội nhóm: 10 triệu đồng
 - Hỗ trợ CLB ngân  hàng máu sống: 10 triệu đồng.</t>
  </si>
  <si>
    <t>KP hoạt động Hội liên hiệp thanh niên, đội thiếu niên TP:
 - Giải bóng đá thanh niên chào mừng ngày thành lập hội LHTN: 10 triệu đồng
 - Hội nghị tổng kết: 5 triệu đồng
 - Hỗ trợ hoạt động các CLB, tổ, đội nhóm: 5 triệu đồng</t>
  </si>
  <si>
    <t>Hỗ trợ CLB ngân hàng máu sống thị xã</t>
  </si>
  <si>
    <t xml:space="preserve">Lễ phát động tháng thanh niên </t>
  </si>
  <si>
    <t xml:space="preserve">Năm 2019 đã đăng cai tổ chức thực hiện, </t>
  </si>
  <si>
    <t>Thực hiện chương trình tiếp sức mùa thi năm 2019</t>
  </si>
  <si>
    <t>Liên  hoan văn nghệ tuổi trẻ tiến bước dưới là cờ Đảng chào mừng 90 năm thành lập Đảng và ĐH Đảng các cấp</t>
  </si>
  <si>
    <t>Không thực hiện mà thực hiện chung chương trình văn nghệ chào mừng ĐH đảng toàn thị xã</t>
  </si>
  <si>
    <t>ĐH cháu ngoan Bác Hồ nhiệm kỳ 2020-2025</t>
  </si>
  <si>
    <t>Tạm bố trí, khi thực hiện sẽ được TTTU duyệt cụ thể</t>
  </si>
  <si>
    <t>Tiền tết CBCNV 3 người (01 trưởng  x6 triệu; 01 phó x 5,5 tr; 1 x 5 tr)</t>
  </si>
  <si>
    <t>Tiền các ngày lễ (tết dương, 30/4-1/5; 02/9; thành lập ngành, ngày giỗ tổ HV:  5 ngày x 500 nghìn đồng/ ngày x 3 người)</t>
  </si>
  <si>
    <t>Kinh phí mua ghế ngồi làm việc</t>
  </si>
  <si>
    <t>Sử dụng kinh phí thường xuyên để thực hiện NV</t>
  </si>
  <si>
    <t xml:space="preserve">Tổ chức các hoạt động nhân ngày Quốc tế phụ nữ 8/3; </t>
  </si>
  <si>
    <t>Kinh phí tham gia Hội thi "cán bộ hội giỏi" cấp tỉnh</t>
  </si>
  <si>
    <t xml:space="preserve">Kinh phí gặp mặt cán bộ hội qua các thời kỳ nhân kỷ niệm 90 năm ngày thành lập hội </t>
  </si>
  <si>
    <t xml:space="preserve">Tổ chức giải bóng chuyền nữ mở rộng chào mừng kỷ niệm 90 năm ngày thành lập hội </t>
  </si>
  <si>
    <t xml:space="preserve">Thị xã tổ chức 01 năm/giải bóng chuyền nữ, kp bố trí tại Trung tâm VH  thị xã, đề nghị Hội phối hợp với TTVH để thực hiện </t>
  </si>
  <si>
    <t xml:space="preserve">Hỗ trợ 3 CLB do Hội quản lý " phụ nữ mẫu mực", " phụ nữ sống tốt đời đẹp đạo"'; "phụ nữ nuôi dạy con tốt" </t>
  </si>
  <si>
    <t>Hỗ trợ xây dựng các tuyến đường hoa, hàng rao xanh do hội phụ trách</t>
  </si>
  <si>
    <t>Tập huấn kỹ năng, nghiệp vụ cho cán bộ hội cơ sở; tập huấn chuyên đề cho cán bộ Hội từ thị xã đến hội viên nòng cốt</t>
  </si>
  <si>
    <t>Đã bố trí kinh phí 01 cuộc tập huấn 02 ngày tại TTBDCT thị xã, đề  nghị đơn vị phối hợp với TTBDCT đề thực hiện nhiệm vụ</t>
  </si>
  <si>
    <t xml:space="preserve">Hội nghị tôn vinh các đơn vị, cá nhân thành tích xuất sắc trên các lĩnh vực: phát triển kinh tế, giảm nghèo, khời nghiệp, kinh tế </t>
  </si>
  <si>
    <t>02 cuộc này nên tổ chức 01 cuộc</t>
  </si>
  <si>
    <t>Tổng kết công tác Hội và phong trào phụ nữ cuối năm 2020</t>
  </si>
  <si>
    <t>Tiền tết CBCNV 3 người  (01 trưởng - x 6 triệu; 0 phó x 5,5 triệu; 01 x 5 triệu)</t>
  </si>
  <si>
    <t>Tham gia hoạt động VHVN, TDTT ở tỉnh nhân kỷ niệm 90 ngày thành lập hội</t>
  </si>
  <si>
    <t>Xây dựng 02 mô hình phát triển kinh tế nông nghiệp</t>
  </si>
  <si>
    <t>Kinh phí mua máy tính xách tay</t>
  </si>
  <si>
    <t>Hội nghị tuyên truyền, phổ biển KHKT, triển khai kế hoạch sản xuất nông nghiệp năm 2020</t>
  </si>
  <si>
    <t>Đã bố trí kinh phí 01 cuộc tập huấn 02 ngày tại TTBDCT thị xã, đề  nghị đơn vị phối hợp với TTBDCT đề thực hiện nhiệm vụ; còn nhiệm vụ triển khai kế hoạch sản xuất nông nghiệp phòng KT thực hiện</t>
  </si>
  <si>
    <t>Triển khai thực hiện Đề án " tuyên truyền, vận động hội viên, nhân dân thu gom, phân loại xử lý rác thải và ủ phân vi sinh tại hộ gia đình"</t>
  </si>
  <si>
    <t>Các hoạt động kỷ niệm 90 năm ngày thành lập Hội nông dân VN (14/10/1930-14/10/2020)</t>
  </si>
  <si>
    <t>Tiền tết CBCNV ( 01trưởng x 6 triệu; 01 phó x 5,5 tr; 01 UVTT x 5 triệu  đ)</t>
  </si>
  <si>
    <t>Tặng quà cho CCB chống Pháp nhân kỷ niệm 66 năm ngày chiến thắng Điện Biên Phủ 
(60 người)</t>
  </si>
  <si>
    <t>Hội nghị sơ kết giữa nhiệm kỳ (2017-2022)</t>
  </si>
  <si>
    <t xml:space="preserve">KP khám chữa bệnh sức khỏe định kỳ </t>
  </si>
  <si>
    <t>Tiền lương, phụ cấp CV, BL, TNVK,TN,KV  (7 đ/c)</t>
  </si>
  <si>
    <t>Tiền tết 7 đ/c ( 01 trưởng - x 6 triệu; 01 phó x 5,5 triệu; 5 x 5 triệu)</t>
  </si>
  <si>
    <t>Tiền các ngày lễ (tết dương, 30/4-1/5; 02/9; thành lập ngành, ngày giỗ tổ HV: 5 ngày x 500 nghìn đồng/ ngày x 7 người)</t>
  </si>
  <si>
    <t>Kinh phí đi học tập kinh nghiệm (7 đ/c x 2 triệu)</t>
  </si>
  <si>
    <t>Chi chung sự nghiệp giáo dục (thực hiện các hoạt động chung của ngành giáo dục):
 - Tổ chức các chuyên đề, chuyên môn của ngành: 85 triệu đồng
 - Bồi dưỡng học sinh giỏi các cấp: 80 triệu đồng
 - Thi giáo viên giỏi các cấp: 30 triệu đồng
 - Hội nghị sơ kết, tổng kết năm học: 30 triệu đồng;
 - Hội khỏe phù đổng toàn TX: 35 triệu đồng;
 - Hội khỏe phù đổng cấp Tỉnh: 40 triệu đồng;
 - Hoạt động văn nghệ TD, TT: 25 triệu đồng;
 - Khai giảng năm học mới: 30 triệu đồng;
 - Chi các hoạt động kỷ niệm ngày 20/11: 20 triệu đồng
 - Mua máy tính xách tay: 30 triệu đồng;</t>
  </si>
  <si>
    <t>Chi chung sự nghiệp giáo dục (thực hiện các hoạt động chung của ngành giáo dục):
 - Tổ chức các chuyên đề, chuyên môn của ngành: 70 triệu đồng
 - Bồi dưỡng học sinh giỏi các cấp: 70 triệu đồng
 - Thi giáo viên giỏi các cấp: 30 triệu đồng
 - Hội nghị sơ kết, tổng kết năm học: 30 triệu đồng;
 - Hội khỏe phù đổng toàn TX: 35 triệu đồng;
 - Hội khỏe phù đổng cấp Tỉnh: 40 triệu đồng;
 - Hoạt động văn nghệ TD, TT: 25 triệu đồng;
 - Khai giảng năm học mới: 30 triệu đồng;
 - Chi các hoạt động kỷ niệm ngày 20/11: 20 triệu đồng
 - Mua máy tính xách tay: 30 triệu đồng;</t>
  </si>
  <si>
    <t>Hỗ trợ xăng xe đ/c Trí Anh TVUB 1 triệu đồng/tháng x 12T</t>
  </si>
  <si>
    <t>Tiền tết 05 người ( 01 trưởng x 6 triệu ;2 phó x 5,5 tr; 2 x 5 tr  )</t>
  </si>
  <si>
    <t>Tiền các ngày lễ (tết dương lịch; 30/4-1/5; 2/9; ngày thành lập ngành, ngày giỗ tổ HV: 5 người x 500 nghìn đ/người x 5 ngày )</t>
  </si>
  <si>
    <t>Kinh phí lập kế hoạch phát triển KTXH hàng năm</t>
  </si>
  <si>
    <t>Kinh phí thực hiện nhiệm vụ quản lý và thu quỹ phòng chống bão lụt (kinh phí thuê đưa công văn đôn đốc các đơn vị, doanh nghiệp nộp quỹ phòng chống Bão lụt: 03 đợt x 2 triệu đồng/lượt+ văn phòng phẩm)</t>
  </si>
  <si>
    <t>Mua 01 bộ máy đ/c Diễn</t>
  </si>
  <si>
    <t>Tiền tết 02 người (01 trưởng x 6 triệu; 1 x 5,5 triệu; 1x5 triệu đồng)</t>
  </si>
  <si>
    <t>Tiền các ngày lễ (tết dương lịch; 30/4-1/5; 2/9; ngày thành lập ngành: 3 người x 500 nghìn đ/ngưòi  x 5 ngày )</t>
  </si>
  <si>
    <t>Kinh phí đi tham quan học tập kinh nghiệm (3 đ/c x 2 triệu)</t>
  </si>
  <si>
    <t>Tuyên truyền pháp luật :
 - UBND thị xã tổ chức 02 lớp x 8000.000 đ/lớp = 16 triệu đồng; 52 người không hưởng lương NS
 - Phối hợp Thị đoàn tổ chức 01 lớp: 01 x 8.000.000 đ/lớp = 8 triệu đồng;
 - Phối hợp với Hội LHPN thị xã tổ chức 01 lớp: 01 x 8 triệu đồng/lớp = 8 triệu đồng;
 - Phô tô tài liệu phục vụ HN, tài liệu gửi các đơn vị (tờ gấp. Văn bản PL....): 15 triệu đồng;
 - Phối hợp xây dựng chuyên mục, phóng sự  phổ biến PL: 10 triệu đồng;
 - Phối hợp biên tập nội dung, thu âm đĩa CD nội dung pháp luật để phổ biến loa truyền thanh: 04 đĩa x 5 triệu đồng/đĩa = 10 triệu đồng;
 - Tổng kết, khen thưởng, chi khác: 15 triệu đồng
 - Hỗ trợ TDP, thôn tổ chức phố biến PL gắn với đối thoại nhân dân tại TDP, thôn: 40 cuộc x 500.000 đ/cuộc =20 triệu đồng;
 - Bổ sung tủ sách pháp luật: 2 triệu đồng</t>
  </si>
  <si>
    <t>Tiền tết 5 đ/c (01 trưởng - x 6 triệu; 02 phó x 5,5 triệu; 2 x 5 tr )</t>
  </si>
  <si>
    <t>Tiền các ngày lễ (tết dương lịch; 30/4-1/5; 2/9; ngày thành lập ngành: 5 người x 500 nghìn đ/ngưòi  x 5 ngày )</t>
  </si>
  <si>
    <t>Tiền tết 02 người ( 01 trưởng x 6 triệu; 01 x5 triệu )</t>
  </si>
  <si>
    <t>Tiền các ngày lễ (tết dương lịch; 30/4-1/5; 2/9; ngày thành lập ngành, ngày giỗ tổ HV: 2 người x 500 nghìn đ/ngưòi  x 5 ngày )</t>
  </si>
  <si>
    <t xml:space="preserve">Kinh phí đoàn kiểm tra VSATTP </t>
  </si>
  <si>
    <t>Kinh phí ban chỉ đạo: CSSKND, HIV/AIDS, phòng chống HIV,</t>
  </si>
  <si>
    <t>Tiền tết 03 người ( 01 trưởng x 6 triệu; 01 phó x 5,5 triệu, 1 x 5 triệu )</t>
  </si>
  <si>
    <t>Tiền các ngày lễ (tết dương lịch; 30/4-1/5; 2/9; ngày thành lập ngành, ngày giỗ tổ HV 3 người x 500 nghìn đ/ngưòi  x 5 ngày )</t>
  </si>
  <si>
    <t>Hỗ trợ xăng xe đ/c  TVUB 1 triệu đồng/tháng x 12T</t>
  </si>
  <si>
    <t>Mua máy tinh đ/c thanh</t>
  </si>
  <si>
    <t>Kinh phí hoạt động các đoàn Thanh tra 05 đoàn x 5 triệu đồng/đoàn</t>
  </si>
  <si>
    <t>Mua máy tinh</t>
  </si>
  <si>
    <t>Đã bố trí DT năm 2019</t>
  </si>
  <si>
    <t>Kinh phí mua máy ghi âm</t>
  </si>
  <si>
    <t>Kinh phí phục vụ các đoàn giải quyết khiếu nại cấp tỉnh</t>
  </si>
  <si>
    <t>Khi phát sinh nhiệm vụ thực hiện cấp KP</t>
  </si>
  <si>
    <t>Tiền tết 03 người ( 01 trưởng x 6 triệu; 01 phó x 5,5 triệu; 01 x 5 triệu )</t>
  </si>
  <si>
    <t>Tiền các ngày lễ (tết dương lịch; 30/4-1/5; 2/9; ngày thành lập ngành, ngày giỗ tổ HV: 3 người x 500 nghìn đ/ngưòi  x 5 ngày )</t>
  </si>
  <si>
    <t>Kinh phí làm cuốn sách "Hồng Lĩnh - tiềm năng cơ hội đầu tư"</t>
  </si>
  <si>
    <t>Khi thực hiện nhiệm vụ sử dụng nguồn tuyên truyền quảng bá thị xã phân bổ</t>
  </si>
  <si>
    <t>Lĩnh vực Thông  tin - Truyền thông (tập huấn phổ biển các văn bản trên lĩnh vực internet, photo)</t>
  </si>
  <si>
    <t>Tiền tết 5 đ/c ( 01 trưởng  x 6 triệu; 02 phó x 5,5 triệu; 2đ/c x 5 triệu )</t>
  </si>
  <si>
    <t>Tiền các ngày lễ (tết dương lịch; 30/4-1/5; 2/9; ngày thành lập ngành, ngày giỗ tổ HV: 5 người x 500 nghìn đ/ngưòi  x 5 ngày )</t>
  </si>
  <si>
    <t>Tiền tết 4 người ( 01trường x 6 triệu; 3 x 5 triệu )</t>
  </si>
  <si>
    <t>Tiền các ngày lễ ( 30/4-1/5; 02/9/; tết dương lịch; ngày thành lập ngành, ngày giỗ tổ HV: 5 người x 500 nghìn đồng/ người x 5 ngày)</t>
  </si>
  <si>
    <t>Hỗ trợ xăng xe đ/c TVUB 1 triệu đồng/tháng x 12T</t>
  </si>
  <si>
    <t>Tiền tết (01 trưởng  x 6 triệu; 01 phó x 5,5 triệu; 3đ/c x5 triệu)</t>
  </si>
  <si>
    <t>Tiền tết 04 đ/c ( 01 trưởng x 6 triệu; 01 phó x 5,5 triệu; 2 cv x 5 triệu )</t>
  </si>
  <si>
    <t>Tiền các ngày lễ ( 30/4-1/5; 02/9/; tết dương lịch; ngày thành lập ngành, ngày giỗ tổ HV: 4 người x 500 nghìn đồng/ người x 5 ngày)</t>
  </si>
  <si>
    <r>
      <rPr>
        <b/>
        <sz val="11"/>
        <color indexed="10"/>
        <rFont val="Times New Roman"/>
        <family val="1"/>
      </rPr>
      <t>Văn phòng điều phối xây dựng nông thôn mới</t>
    </r>
    <r>
      <rPr>
        <b/>
        <sz val="11"/>
        <color indexed="12"/>
        <rFont val="Times New Roman"/>
        <family val="1"/>
      </rPr>
      <t xml:space="preserve">
</t>
    </r>
    <r>
      <rPr>
        <sz val="11"/>
        <color indexed="12"/>
        <rFont val="Times New Roman"/>
        <family val="1"/>
      </rPr>
      <t xml:space="preserve"> </t>
    </r>
  </si>
  <si>
    <t>Kinh phí sửa  chữa nhỏ tài sản, bổ sung thiết bị công nghệ thông tin, điện chiếu sáng</t>
  </si>
  <si>
    <t>Mua máy lọc nước nóng, lạnh để phục vụ dân</t>
  </si>
  <si>
    <t>01 cái x 5.500.000 đ/cái</t>
  </si>
  <si>
    <t>Nếu tỉnh  có hỗ trợ sẽ đưa vào dự toán</t>
  </si>
  <si>
    <t>Tuyên truyền phổ biến chủ trương, chính sách về phát triển CN - TTCN: in tờ rơi, tờ gấp, phối hợp với Đài PTTH phổ biến các chính sách mới</t>
  </si>
  <si>
    <t>Tập huấn các văn bản về phát triển công nghiệp - TTCN: 02 lớp cho các đối tượng doanh nghiệp, cơ sở sản xuất kinh doanh (mỗi lớp 150 người)
  +  Maket, nước uống, VS hội trường: 01 cuộc x 1 triệu đồng = 2 triệu đồng;
  + Thuê Giảng viên: 01 cuộc x 1 triệu đồng = 4 triệu đồng;
  + Bù tiền ăn cho đại biểu không hưởng lương NS: 150 x 100.000 đ/người x 2 lớp = 30 triệu đồng;
  + Chi khác: 4 triệu đồng</t>
  </si>
  <si>
    <t xml:space="preserve">Tuyên truyền Pháp luật KDTM, tập huấn phát triển thương mại: 02 lớp tập huấn
  </t>
  </si>
  <si>
    <t xml:space="preserve">02 đoàn x 5 triệu đồng/ đoàn </t>
  </si>
  <si>
    <t>Kinh phí  hoạt động và ban chỉ đạo ISO</t>
  </si>
  <si>
    <t xml:space="preserve">Chuyển từ nhiệm vụ của VP về </t>
  </si>
  <si>
    <t>Triển khai và chỉ đạo công tác phòng chống cháy rừng</t>
  </si>
  <si>
    <t>Kinh phí hoạt động phòng chống thống thiên, tìm kiếm cứu nạn: 
   - Tổng kết PCTT&amp;Tìm kiếm cứu nạn: 15 triệu đồng
   - Trực phòng chống, thiên tai: 25 triệu đồng
   - Vật tư, văn phòng phẩm phục vụ hoạt động: 16 triệu đồng
   - Tập huấn, bồi dưỡng nghiệp vụ phòng chống TT, tìm kiếm cứu nạn:15 triệu đồng</t>
  </si>
  <si>
    <t xml:space="preserve">Kinh phí nộp hội phí hiệp hội đô thị </t>
  </si>
  <si>
    <t>Hội nghị quản lý chất lượng công trình</t>
  </si>
  <si>
    <t>Hoạt động thẩm định các công trình chỉnh trang đô thị</t>
  </si>
  <si>
    <t>Kinh phí hoạt động lĩnh vực quản lý giao thông đường bộ, giao thông đường thủy</t>
  </si>
  <si>
    <t>Kinh phí hoạt động lĩnh vực quy hoạch kiến trúc</t>
  </si>
  <si>
    <t xml:space="preserve">Kinh phí tổ chức kiểm tra chất lượng công trình xây dựng trên địa bàn </t>
  </si>
  <si>
    <t>Rà soát quy  hoạch lập quy hoạch khu tái định cư</t>
  </si>
  <si>
    <t>In bản đồ quy hoạch giới thiệu địa điểm đầu tư trên địa bàn thị xã</t>
  </si>
  <si>
    <t>Rà soát điều chỉnh quy hoạch cục bộ mốt số tuyến đường trên địa bàn</t>
  </si>
  <si>
    <t>Cắm bổ sung một số mốc quy hoạch trên các tuyến đường (210 mốc)</t>
  </si>
  <si>
    <t>Mua cắp đựng tài liệu lưu trũ các đồ án quy hoạch, hồ sơ xây dựng cơ bản</t>
  </si>
  <si>
    <t>Phần mềm kê khai thu phí lệ phí thẩm định</t>
  </si>
  <si>
    <t>Kinh phí mua giá đựng tài liệu</t>
  </si>
  <si>
    <t xml:space="preserve"> Cấp phát kinh phí khi thực hiện nhiệm vụ </t>
  </si>
  <si>
    <t>Kinh phí thẩm định công nhận lại diện tích đất ở có nguồn gốc trước 18/12/1980</t>
  </si>
  <si>
    <t>Khai thác tài liệu phục vụ giải quyết khiếu nại, tố cáo của công dân</t>
  </si>
  <si>
    <t>Tiền lương, phụ cấp CV, BL, TNVK (13 đ/c, trong đó: 12 viên chức; 01 HĐ 3604)</t>
  </si>
  <si>
    <t>Chi tiền các ngày lễ, tết, mua sắm tài sản</t>
  </si>
  <si>
    <t xml:space="preserve">Tiền tết: 13 người ( 01 trưởng x 6 triệu; 02 phó x 5,5 triệu; 10đ/cx 5 triệu); </t>
  </si>
  <si>
    <t>Tiền đi học tập kinh nghiệm 13 người x 2 triệu đồng/người</t>
  </si>
  <si>
    <t>Tiền các ngày lễ ( 30/4-1/5; 02/9/; tết dương lịch; ngày thành lập ngành, ngày giỗ tổ HV: 13 người x 500 nghìn đồng/ người x 5 ngày)</t>
  </si>
  <si>
    <t>Mua tủ đựng tài liệu cho phó giám đốc</t>
  </si>
  <si>
    <t xml:space="preserve">Sử dụng chi thường xuyên để thực hiện </t>
  </si>
  <si>
    <t>Mua 01 bộ bàn ghế cho phó giám đốc</t>
  </si>
  <si>
    <t>Mua máy tính xách tay</t>
  </si>
  <si>
    <t>Tủ tài liệu phòng kế toán</t>
  </si>
  <si>
    <t>Máy tính xách tay kế  toán</t>
  </si>
  <si>
    <t>Nâng cấp, sửa chữa đường vào cơ quan</t>
  </si>
  <si>
    <t>Mua máy in phó GĐ</t>
  </si>
  <si>
    <t>Bố trí dự toán một nội dung riêng, không bố trí trong dự toán TTUD</t>
  </si>
  <si>
    <t>Tập huấn lĩnh vực trồng trọt 02 cuộc * 6 triệu</t>
  </si>
  <si>
    <t>Tập huấn lĩnh vực chăn nuôi thuỷ sản 02 cuộc * 6 triệu</t>
  </si>
  <si>
    <t>Tham quan mô hình mới, liên kết sản xuất</t>
  </si>
  <si>
    <t xml:space="preserve">Bố trí trí KP phòng chống dịch , khi có dịch sẽ sử dụng 
kinh phí dự phòng để phân bổ thực hiện nhiệm vụ </t>
  </si>
  <si>
    <t>Tiền tết: 10 người ( 1T x 6 triệu; 1P x 5,5 triệu; 8 x 5 triệu)</t>
  </si>
  <si>
    <t>Tiền các ngày lễ ( 30/4-1/5; 02/9/; tết dương lịch; ngày thành lập ngành, ngày giỗ tổ HV 10 người x 500 nghìn đồng/ người x 5 ngày)</t>
  </si>
  <si>
    <t>Thuê bảo vệ 12 tháng x 500.000 đ/tháng</t>
  </si>
  <si>
    <t>Xăng, kiểm định xe định kỳ hàng năm</t>
  </si>
  <si>
    <t>Mang internet</t>
  </si>
  <si>
    <t>Sử dụng trong định mức chi thường xuyên</t>
  </si>
  <si>
    <t>Tiền điện  nước</t>
  </si>
  <si>
    <t>Phân bổ kinh phí khi các nội dung thực hiện được sự thống nhất của lãnh đạo UB, phòng Kinh tế và yêu cầu TT báo cáo đánh giá kết quả thực hiện các mô hình của năm 2019</t>
  </si>
  <si>
    <t>Kinh phí thu gom, xử lý rác thải, tiền điện chiếu sáng công cộng, chăm sóc cây cảnh đường phố năm 2020</t>
  </si>
  <si>
    <t>Dự toán 2020 tăng hơn so với 2019:
  - Do tăng kinh phí điện chiếu sáng và bảo dưỡng bảo trì  hệ thống điện chiếu sáng đường Ngô Quyền, đường Kinh Dương Vương, giải phân cách QL1A đoạn từ đường Phan Kính đến trạm Đăng Kiểm;
  - Kinh phí dọn vệ sinh, cắt tỉa cây tại công viên Bình Lạng; công viên Bầu Tiên.</t>
  </si>
  <si>
    <t>Kinh phí trả nợ thanh lý một số hợp đồng điện trang trí, di dời hệ thống điện, giải phân cách, hệ thống cây xanh thực hiện trong năm 2019 nhưng chưa bố trí dự toán để thanh toán</t>
  </si>
  <si>
    <t>Tiền tết 5 người ( 01 trưởng x 6 triệu; 4 x 5 triệu )</t>
  </si>
  <si>
    <t>SỰ NGHIỆP VĂN HOÁ - TRUYỀN THÔNG</t>
  </si>
  <si>
    <t>Trung  tâm Văn hóa - Truyền thông</t>
  </si>
  <si>
    <t>Tiền lương, phụ cấp CV, BL, TNVK (15đ/c)</t>
  </si>
  <si>
    <t>* Cán bộ hợp đồng 3604</t>
  </si>
  <si>
    <t>Tiền tết CBCC 16 người ( 02 phó  x 5,5 triệu; 14 x 5 triệu)</t>
  </si>
  <si>
    <t>Hỗ trợ kinh phí đi học tập kinh nghiệm 16 người x 2 triệu đồng/người</t>
  </si>
  <si>
    <t>Tiền các ngày lễ ( 30/4-1/5; 02/9/; tết dương lịch; ngày thành lập ngành, ngày giỗ tổ HV: 16 người x 500 nghìn đồng/ người x 5 ngày)</t>
  </si>
  <si>
    <t xml:space="preserve">Tiền điện phát thanh: 1.800.000 đ/tháng x 12 tháng </t>
  </si>
  <si>
    <t>In cờ phướn mừng Đảng mừng xuân: 300 cái x 115.000 đ/cái = 34,5 triệu đồng</t>
  </si>
  <si>
    <t>200 cái x115 nghìn đ/cái = 23 triệu đồng</t>
  </si>
  <si>
    <t>300 cái x 17.000 đ/cái</t>
  </si>
  <si>
    <t>Tuyên truyền ngày TLTX:  5 bằng x950.000 đ/cái</t>
  </si>
  <si>
    <t xml:space="preserve">Tuyên truyền ngày TTVN, ngày thành lập đoàn 26/3:
  - Giấy đề can: 4 băng x 15m x 25.000 đ/m.
 </t>
  </si>
  <si>
    <t xml:space="preserve">Tuyên truyền ngày 30/4; 1/5:  
 - 6 băng x 950.000 đ/băng = 5.700.000 đ
 - In cờ phướn: 300 cái x 115.000 đ/cái = 34.500.000 đ; 100 cái x 90.000 đ/cái = 9.000.000 đ.
 - </t>
  </si>
  <si>
    <t>Tuyên truyền ngày 19/5; : 5 băng x 950.000 đ/băng</t>
  </si>
  <si>
    <t>Tuyên truyền ngày 19/8; 02/9, : 
 - 6 băng x950.000 đ/băng.
 - In cờ phướn: 300 cái x 115.000 đ/cái = 34.500.000 đ; 100 cái x 90.000 đ = 9.000.000 đ</t>
  </si>
  <si>
    <t xml:space="preserve">6 băng x950.000 đ/băng </t>
  </si>
  <si>
    <t>Tuyên truyền lễ giao quân: 5 băng x 950.000 đ/băng</t>
  </si>
  <si>
    <t>Tuyên truyền ngày đại đoàn kết toàn dân tộc: 4 bằng x 950.000 đ/băng</t>
  </si>
  <si>
    <t>Tuyên truyền ngày thành lập quân đội nhân dân VN: 4 bằng x 950.000 đ/băng</t>
  </si>
  <si>
    <t>150 cán x 11.000 đ/cái</t>
  </si>
  <si>
    <t>300 cán x 4.000 đ/cái</t>
  </si>
  <si>
    <t>Làm đai đường Quang Trung đoạn từ Phan Kính đến trạm Đăng Kiểm và đường 03/2</t>
  </si>
  <si>
    <t>Dạ hội VN chào mừng thành công ĐH Đảng bộ TX lần thứ VII</t>
  </si>
  <si>
    <t xml:space="preserve">Bố trí trong kinh phí ĐH </t>
  </si>
  <si>
    <t>Giải việt dã</t>
  </si>
  <si>
    <t>Giải bóng chuyền bãi biễn</t>
  </si>
  <si>
    <t>Báo, tạp chí phục vụ hoạt động thư viện 2.000.000đồng/quý * 4 quý</t>
  </si>
  <si>
    <t>1.3.2.5</t>
  </si>
  <si>
    <t>Hoạt động Website và phụ cấp</t>
  </si>
  <si>
    <t>Kinh phí nhuận bút đăng bài trên trang website và phụ cấp</t>
  </si>
  <si>
    <t>Mua máy tính xách tay (thiết kế tuyên truyền)</t>
  </si>
  <si>
    <t>Máy tính để bàn phòng thư viên (phòng thư viện vì hệ thống máy tính đã hư hỏng và và hết thời gian khấu hao): 05 cái x 12.000.000 đồng</t>
  </si>
  <si>
    <t>Bộ máy camera (bao gồm: máy, chân, và các phụ kiện đi kèm)</t>
  </si>
  <si>
    <t>Bộ lưu trũ dữ liệu chuyên dụng</t>
  </si>
  <si>
    <t>Bộ dựng hình phi tuyến</t>
  </si>
  <si>
    <t>Máy ảnh cho phòng viên</t>
  </si>
  <si>
    <t xml:space="preserve"> Chi các ngày lễ, tết</t>
  </si>
  <si>
    <t xml:space="preserve"> Chi mua sắm TSCĐ, sửa chữa tài sản</t>
  </si>
  <si>
    <t xml:space="preserve"> - Quỹ lương viên chức (34 đ/c)</t>
  </si>
  <si>
    <t xml:space="preserve"> - Quỹ lương cán bộ Hợp đồng (02 hđ 3604)</t>
  </si>
  <si>
    <t>Tiền tết: 23 người  (01 trưởng x 6 triệu; 01 phó x 5,5 triệu; 21 x 5 triệu)</t>
  </si>
  <si>
    <t>Tiền các ngày lễ ( 30/4-1/5; 02/9/; tết dương lịch; ngày thành lập ngành, ngày giổ tổ HV: 23 người x 500 nghìn đồng/ người x 5 ngày)</t>
  </si>
  <si>
    <t>Hỗ trợ bác sỹ trạm y tế theo NQ144/2015/NQ-HĐND</t>
  </si>
  <si>
    <t>Hỗ trợ đối với bác sỹ, dược sỹ tại TT y tế</t>
  </si>
  <si>
    <t xml:space="preserve">Hỗ trợ phụ cấp đặc thù cho bác sỹ, dược quản lý </t>
  </si>
  <si>
    <t>Tiền tết 05 đ/c  ( 01 T x 6,0 triệu;  4 đ/c x 5 triệu  )</t>
  </si>
  <si>
    <t>Tiền các ngày lễ ( 30/4-1/5; 02/9/; tết dương lịch; ngày thành lập ngành, ngày giỗ tổ HV 5 người x 500 nghìn đồng/ người x 5 ngày)</t>
  </si>
  <si>
    <t xml:space="preserve">Các hoạt động thực hiện các chỉ tiêu về DSKHHGĐ do HĐND giao trong Đề án
 + Trao quà cho các cụ có hoàn cảnh khó khăn nhân dịp tết Nguyên Đán: 10 triệu đồng.
 + Tuyên truyền về công tác dân số: 10 triệu đồng.
 + Hội nghị biểu dương các cháu gái chăm ngoan học giỏi và các gia đình sinh con một bề là gái làm kinh tế giỏi: 18 triệu đồng.
 + Mít tinh kỷ niệm ngày lễ của ngành: 10 triệu đồng.
 + Hỗ trợ khám cấp thuốc miễn phí cho các cụ có hoàn cảnh khó khăn tại 6 đơn vị phường, xã: 900 suất x 35.000 đ/suất =31,5 triệu đồng
</t>
  </si>
  <si>
    <t xml:space="preserve">Các hoạt động thực hiện các chỉ tiêu về DSKHHGĐ do HĐND giao trong Đề án
 + Trao quà cho các cụ có hoàn cảnh khó khăn nhân dịp tết Nguyên Đán: 10 triệu đồng.
 + Tuyên truyền về công tác dân số: 10 triệu đồng.
 + Hội nghị biểu dương các cháu gái chăm ngoan học giỏi và các gia đình sinh con một bề là gái làm kinh tế giỏi: 10 triệu đồng.
 + Mít tinh kỷ niệm ngày lễ của ngành: 0 triệu đồng.
 + Hỗ trợ khám cấp thuốc miễn phí cho các cụ có hoàn cảnh khó khăn tại 6 đơn vị phường, xã: 600 suất x 35.000 đ/suất =21 triệu đồng
</t>
  </si>
  <si>
    <t>Kinh phí đảm bảo các chế độ xã hội khác:
   - Kinh phí chúc thọ, mừng thọ NSTX đảm bảo: 55 triệu đồng.
   - Kinh phí tổ chức chương trình  tặng quà tết: 20 triệu đồng;
   - Quà tết cho các đối tượng BTXH, các TTBTXH, làng SOS: 50 triệu đồng;
   - Quà  tết cho các đối tượng người mù: 10 triệu đồng;
   - Kinh phí kiểm tra, thuê xe đưa đối tượng vào TTBTXH: 20 triệu đồng.
   - Tập huấn chính sách BTXH: 20 triệu đồng.
  - Kinh phí kiểm tra, rà soát đối tượng BTXH: 20 triệu đồng</t>
  </si>
  <si>
    <t>Kinh phí đảm bảo các chế độ xã hội khác:
   - Kinh phí chúc thọ, mừng thọ NSTX đảm bảo: 50 triệu đồng.
   - Kinh phí tổ chức chương trình  tặng quà tết: 10 triệu đồng;
   - Quà tết cho các đối tượng BTXH, các TTBTXH, làng SOS: 30 triệu đồng;
   - Quà  tết cho các đối tượng người mù: 10 triệu đồng;
   - Kinh phí kiểm tra, thuê xe đưa đối tượng vào TTBTXH: 20 triệu đồng.
   - Tập huấn chính sách BTXH: 10 triệu đồng.
  - Kinh phí kiểm tra, rà soát đối tượng BTXH: 0 triệu đồng</t>
  </si>
  <si>
    <t xml:space="preserve">Kinh phí hđ người có công:
   - Lương quản trang Nghĩa trang liệt sỹ: 2 người x  2,2 triệu đ x 12T = 52,8 triệu đồng.
   - Chi phí chăm sóc, tu bổ Nghĩa trang liệt sỹ: 20 triệu đồng.
   - Kinh phí phục vụ công tác đón Hài cốt Liệt sỹ: 40 triệu đồng.
   - Kinh phí lễ thắp nến tri ân nhân kỷ niệm 27/7; quà 27/7; quà tết: 30 triệu đồng.
   - Kinh phí đưa người có công đi điều dưỡng tập trung: 30 triệu đồng.
   - Kinh phí đoàn lãnh đạo thị xã đi dâng hương các NTLS: 120 triệu đồng
   - Kinh phí thăm viếng người có công qua đời: 32 triệu đồng.
 </t>
  </si>
  <si>
    <t xml:space="preserve">Kinh phí hđ người có công:
   - Lương quản trang Nghĩa trang liệt sỹ: 2 người x  2,2 triệu đ x 12T = 52,8  triệu đồng.
   - Chi phí chăm sóc, tu bổ Nghĩa trang liệt sỹ: 10 triệu đồng.
   - Kinh phí phục vụ công tác đón Hài cốt Liệt sỹ: 40 triệu đồng.
   - Kinh phí lễ thắp nến tri ân nhân kỷ niệm 27/7; quà 27/7; quà tết: 30 triệu đồng.
   - Kinh phí đưa người có công đi điều dưỡng tập trung: 30 triệu đồng.
   - Kinh phí đoàn lãnh đạo thị xã đi dâng hương các NTLS: 120 triệu đồng.
  - Kinh phí thăm viếng người có công qua đời: 32 triệu đồng.
 </t>
  </si>
  <si>
    <t>Bảo vệ chăm sóc trẻ em: 
 - Tháng hành động vì trẻ em: 10 triệu đồng.
 - Tuyên truyền  phòng chống đuối nước:  15 triệu đồng.
 - Diễn đàn trẻ em: 10 triệu đồng
 - Tập huấn nghiệp vụ công tác BVCSTE: 10 triệu đồng</t>
  </si>
  <si>
    <t>An toàn vệ sinh lao động và phòng chống cháy nổ: 
 - Tổ chức tuần lễ quốc gia VSATLĐ-PCCN: 20 triệu đồng.
 - Tuyên truyền công tác an toàn vệ sinh lao động: 10 triệu đồng.
 - Phục vụ kiểm tra công tác ATVSLĐ: 10 triệu đồng.</t>
  </si>
  <si>
    <t>An toàn vệ sinh lao động và phòng chống cháy nổ: 
 - Tổ chức tuần lễ quốc gia VSATLĐ-PCCN: 10 triệu đồng.
 - Tuyên truyền công tác an toàn vệ sinh lao động: 5 triệu đồng.
 - Phục vụ kiểm tra công tác ATVSLĐ: 5 triệu đồng.</t>
  </si>
  <si>
    <t>Phòng chống tệ nạn xã hội: 
 - Tập huấn tuyên truyền: 20 triệu
 - Đưa đối tượng đi cai nghiện: 10 triệu đồng.
 - Chi phục vụ kiểm tra phòng chống tệ nạn mại dâm:10 triệu đồng</t>
  </si>
  <si>
    <t>Lao động việc làm - Dạy nghề:
 - Tập huấn điều tra cung cầu LĐ: 20 triệu đồng.
 - Hỗ trợ điều tra lao động, XK LĐ: 15 triệu đồng.
 - Hỗ trợ điều tra tiền lương, việc làm của DN: 5,2 triệu đồng.
 - Giám sát các lớp dạy nghề: 5 triệu đồng 
 - Điều tra thông tin thị trường lao động: 5,2 triệu đồng</t>
  </si>
  <si>
    <t>Công tác giảm nghèo : 
 - Quà tết cho người nghèo: 50 triệu đồng;
 - Điều tra rà soát hộ nghèo: 50 triệu đồng.
 - Điều tra hộ sx nông - lầm - ngư nghiệp có mức sống trung bình: 10 triệu đồng
 - Quản lý giám sát quỹ Bê giống Vincom: 10 triệu đồng</t>
  </si>
  <si>
    <t xml:space="preserve">Công tác bình đẳng giới:
 - Tập huấn nghiệp vụ và nâng cao hoạt động BĐG: 20 triệu đồng;
 - Kiểm tra, đôn đốc các hoạt động BĐG: 10 triệu đồng;
 - Tổ chức tháng hành động vì bình đẳng giới: 10 triệu đồng;
</t>
  </si>
  <si>
    <t xml:space="preserve">Hỗ  trợ BHXH tự nguyện cho các đối tượng BTXH để tăng tỷ lệ bao phủ trên địa bàn </t>
  </si>
  <si>
    <t>Phụ cấp 01 CT hội: 2,5; 01 PCT hội: 2</t>
  </si>
  <si>
    <t>Tiền điện hộ nghèo, hộ chính sách</t>
  </si>
  <si>
    <t>Trợ giúp hàng tháng đối với hộ nghèo theo quy định tại Nghị quyết số 151/2019/NQ-HĐND ngày 177/2019</t>
  </si>
  <si>
    <r>
      <t xml:space="preserve">    * Cán bộ  hưởng phụ cấp </t>
    </r>
    <r>
      <rPr>
        <sz val="11"/>
        <color indexed="12"/>
        <rFont val="Times New Roman"/>
        <family val="1"/>
      </rPr>
      <t>(02đ/c)</t>
    </r>
  </si>
  <si>
    <t>Quà tết 3 người ( 01 trưởng x 6 tr, 01 phó x 5,5 tr; 1x 5 tr )</t>
  </si>
  <si>
    <t>Tiền các ngày lễ ( 30/4-1/5; 02/9/; tết dương lịch; ngày thành lập ngành, ngày giổ tổ HV: 3 người x 500 nghìn đồng/ người x 5 ngày)</t>
  </si>
  <si>
    <t>Phúc lợi tập thể (tàu xe nghĩ phép, tiền nước uống cơ quan)</t>
  </si>
  <si>
    <t>Dịch vụ công cộng (điện, nước, vệ sinh môi trường)</t>
  </si>
  <si>
    <t>Vật tư văn phòng</t>
  </si>
  <si>
    <t>Thông tin liên lạc ( điện thoại, bưu chính, internet, sách báo)</t>
  </si>
  <si>
    <t>Hội nghị  sơ kết, tổng kết</t>
  </si>
  <si>
    <t>Công tác phí</t>
  </si>
  <si>
    <t xml:space="preserve"> Sữa chữa </t>
  </si>
  <si>
    <t>Mua, phô tô in tài liệu</t>
  </si>
  <si>
    <t>Hỗ trợ người dẫn, hỗ trợ HV dịp tiết và chi hội hội hoạt động</t>
  </si>
  <si>
    <t>Tiền tết CBCNV: 02 đ/c  ( 01 trưởng x 6 triệu )</t>
  </si>
  <si>
    <t>Tiền các ngày lễ ( 30/4-1/5; 02/9/; tết dương lịch; ngày thành lập ngành, ngày giổ tổ HV: 1 người x 500 nghìn đồng/ người x 5 ngày)</t>
  </si>
  <si>
    <t>Kinh phí đi tham quan học tập kinh nghiệm: 1đ/c x 2 triệu</t>
  </si>
  <si>
    <t>Tiền thưởng</t>
  </si>
  <si>
    <t>Chi phí thuê mướn (thuê xe, bảo vệ)</t>
  </si>
  <si>
    <t>Chi tiếp khách, khác</t>
  </si>
  <si>
    <t>Sữa chữa tài sản (sữa máy tính)</t>
  </si>
  <si>
    <t>Chi phí nghiệp vụ chuyên môn (hiến máu nhân đạo)</t>
  </si>
  <si>
    <t>Không bố trí kinh phí</t>
  </si>
  <si>
    <t>Tiền tết 03 đ/c  ( 01 trưởng x 6 triệu; 01 phó x 5,5; 1 x 5 triệu )</t>
  </si>
  <si>
    <t>Tiền các ngày lễ ( 30/4-1/5; 02/9/; tết dương lịch; ngày thành lập ngành, ngày giổ tổ HV: 2 người x 500 nghìn đồng/ người x 5 ngày)</t>
  </si>
  <si>
    <t>Kinh phí tổ chức ngày quốc tế người cao tuổi 1/10 (kỷ niệm 25 ngày thành lập hội)</t>
  </si>
  <si>
    <t>Hội nghị sơ kết, tổng kết (kỷ niệm 25  ngày thành lập hội)</t>
  </si>
  <si>
    <t>Chi tiếp khách, khác (chi khác 1,5 triệu đồng; chi hỗ trợ các chi Hội tổ chức giải BC hơi và biểu dương NCT tham gia HT chi trị)</t>
  </si>
  <si>
    <t>Hội Khuyến Học -Giáo chức</t>
  </si>
  <si>
    <t xml:space="preserve"> - Phụ cấp CTH 2,5</t>
  </si>
  <si>
    <t xml:space="preserve"> - Phó chủ tịch hội: 2đc x 2</t>
  </si>
  <si>
    <t xml:space="preserve"> - Phó chủ tịch hội: 1đc x 2</t>
  </si>
  <si>
    <t xml:space="preserve"> Huấn luyện DQTV  theo Luật QDTV
  - Huấn luyện chiến sỹ dân quân năm thứ nhất do BCHQS thị xã Huấn luyện: 168,3 triệu đồng
           +  Tiền ăn 60 đ/c x 57.000 đ/người x 15 ngày = 51,3 triệu đồng;
           +  Tiền hỗ trợ ngày công lao động 60 đ/c x 130.000 đ/người x 15 ngày = 117 triệu đồng;
  - Huấn luyện Dân quân thị xã quản lý (ngày công đã tính dưới): 177,752 triệu đồng.
           + Tiền ăn 178 đ/c x 12 ngày x 57.000 đ/người = 121,752 triệu đồng
           + Bồi dưỡng giáo viên huấn luyện: 20 đ/c x 100.000 đ/người = 2 triệu đồng;
           + Tu sữa thao trường: 48 triệu đồng;
           + Đảm bảo vật chất cho lễ khai mạc, bế mạc: 6 triệu đồng;
  - Chỉ đạo huấn luyện DQ xã, phường: 27 triệu đồng;
           + Theo dõi chỉ đạo huấn luyện dân quân + tự vệ: 12 triệu đồng ;
           + Tổ chức hội thao 3 đợt: 15 triệu đồng.</t>
  </si>
  <si>
    <t>Huấn luyện DQTV  theo Luật QDTV
  - Huấn luyện chiến sỹ dân quân năm thứ nhất do BCHQS thị xã Huấn luyện: 168,3 triệu đồng
           +  Tiền ăn 60 đ/c x 57.000 đ/người x 15 ngày = 51,3 triệu đồng;
           +  Tiền hỗ trợ ngày công lao động 60 đ/c x 130.000 đ/người x 15 ngày = 117 triệu đồng;
  - Huấn luyện Dân quân thị xã quản lý (ngày công đã tính dưới): 155,040 triệu đồng.
           + Tiền ăn 178 đ/c x 12 ngày x 57.000 đ/người = 121,752 triệu đồng
           + Bồi dưỡng giáo viên huấn luyện: 20 đ/c x 100.000 đ/người = 2 triệu đồng;
           + Tu sữa thao trường: 25,288 triệu đồng;
           + Đảm bảo vật chất cho lễ khai mạc, bế mạc: 6 triệu đồng;
  - Chỉ đạo huấn luyện DQ xã, phường: 27 triệu đồng;
           + Theo dõi chỉ đạo huấn luyện dân quân + tự vệ: 12 triệu đồng ;
           + Tổ chức hội thao 3 đợt: 15 triệu đồng.</t>
  </si>
  <si>
    <t>Tổ chức lễ ra quân huấn luyện . 
        + Tiền ăn: 43 đ/c x 10 ngày x 57.000 đ/người = 24,510 triệu đồng; 
        + Trợ cấp gia đình: 43 đ/c x 10 ngày x 149.000 đ/ngày = 64,070 triệu đồng;
        + Khán đài, trang trí: 15 triệu đồng;
        + Văn nghệ: 5 tiết mục x 2 triệu đồng/ tiết mục = 10 triệu đồng;
        + Chi khác: 10 triệu đồng;
        + Maket, hoa, thuê bàn ghế, nước uống, đài lửa: 9 triệu đồng;</t>
  </si>
  <si>
    <t>Tổ chức lễ ra quân huấn luyện .
        + Tiền ăn: 43 đ/c x 10 ngày x 57.000 đ/người = 24,510 triệu đồng; 
        + Trợ cấp gia đình: 43 đ/c x 10 ngày x 149.000 đ/ngày = 64,070 triệu đồng;
        + Khán đài, trang trí: 10 triệu đồng;
        + Văn nghệ: 4 tiết mục x 2 triệu đồng/ tiết mục = 8 triệu đồng;
        + Loa máy: 2 triệu đồng;
        + Maket, hoa, thuê bàn ghế, nước uống, đài lửa: 5 triệu đồng;</t>
  </si>
  <si>
    <t>Giáo dục Quốc phòng cho các đối tường 
        + Bồi dưỡng kiến thức quốc phòng cho đối tượng 3,4,5 và chức sắc tôn giáo: 180 đ/c x 7 ngày x 150.000 đ/ngày = 189 triệu đồng;
        + Tập huấn giáo viên các trường: 4 lớp x 2.500.000 đ/lớp = 10 triệu đồng</t>
  </si>
  <si>
    <t>Giáo dục Quốc phòng cho các đối tường 
        + Bồi dưỡng kiến thức quốc phòng cho đối tượng 3,4,5 và chức sắc tôn giáo: 180 đ/c x 5 ngày x 100.000 đ/ngày = 90 triệu đồng;
        + Tập huấn giáo viên các trường: 4 lớp x 2.000.000 đ/lớp = 8 triệu đồng</t>
  </si>
  <si>
    <t>Huấn luyện dự bị động viên ( 01 đại đội 110 đ/c thời gian 18 ngày)
  + Tiền ăn hạ sỹ quan: 101 đ/c x 18 ngày x 57.000 đ/ngày = 103,626 triệu đồng;
  + Phụ cấp gia đình: 110 đ/c x 18 ngày x 149.000 đ/ngày = 295,020 triệu đồng;
  + Tiền lương sỹ quan 9 đ/c = 75,096;
  + Phụ cấp HSQ 101 đ/c: 98,980 triệu đồng;
  + Phúc kiểm tra hợp đồng huấn luyện: 6 triệu đồng;
  + Bảo đảm CSVC thao trường: 3,5 triệu đồng
  + Khai mạc, bế mạc: 8 triệu đồng;
  + Quân trang sỹ quan: 9 bộ x 400.000 đ = 3,6 triệu đồng;
  +  Quân trang hạ sỹ quan: 101 bộ x 300.000 đ = 30,3 triệu đồng.
  + Bảo đảm quân dụng cho 1 đại đội DBĐV: 15 triệu đồng;</t>
  </si>
  <si>
    <t>Huấn luyện dự bị động viên ( 01 đại đội 110 đ/c thời gian 18 ngày)
  + Tiền ăn hạ sỹ quan: 101 đ/c x 15 ngày x 57.000 đ/ngày = 86,355 triệu đồng;
  + Phụ cấp gia đình: 110 đ/c x 15 ngày x 149.000 đ/ngày = 245,850 triệu đồng;
  + Tiền lương sỹ quan 9 đ/c = 75,096;
  + Phụ cấp HSQ 101 đ/c: 82,483 triệu đồng;
  + Phúc kiểm tra hợp đồng huấn luyện: 6 triệu đồng;
  + Bảo đảm CSVC thao trường: 3,5 triệu đồng
  + Khai mạc, bế mạc: 8 triệu đồng;
  + Quân trang sỹ quan: 9 bộ x 400.000 đ = 3,6 triệu đồng;
  +  Quân trang hạ sỹ quan: 101 bộ x 300.000 đ = 30,3 triệu đồng.
  + Bảo đảm quân dụng cho 1 đại đội DBĐV: 15 triệu đồng;</t>
  </si>
  <si>
    <t>Tuyển, giao quân năm 2019:
  + Phúc tra đăng ký độ tuổi: 6 phường, xã x 1.000.000 đ = 6 triệu đồng;
  + Hội nghị triển khai nhiệm vụ tuyển giao quân: 6 đơn vị x 6 người/đv x 150.000 đ=5,4 triệu đồng.
  + Họp hội đồng nghĩa vụ quân sự: 4 x3.000.000 đ =12 tr đồng.
  + Tổ chức khám tuyển quân: 15 triệu đồng;
  + Tiền ăn cho công dân khám tuyển: 150 đ/c x 57.000 đ = 8,850 triệu đồng
  + Xét nghiệm HIV cho thanh niên trúng tuyer: 50 đ/c x 200.000 đ = 10 triệu đồng
  + Tuyên tryền tuyển giao quân: 8 triệu đồng;
  + CTP cho cán bộ tuyển giao quân: 25 đc x 500.000 đ= 12,5 triệu đồng;
  + Tiền ăn cho các đoàn kiểm tra tuyển giao quân: 5 triệu đồng
  + Tặng quà cho chiến sỹ mới và tổ chức học chính trị: 50 đ/c x 1.500.000 đ = 75 tr đ.
  + Tổ chức giao quân: 21 triệu đồng
  + Đón quân nhân hoàn thành nhiệm vụ về: 50 đ/c x 200.000 đ/người = 10 triệu đồng.
  + Văn hóa văn nghệ: 50 triệu đồng;
  + Tuyên thệ chiến sỹ mới: 15 triệu đồng;
  + Tổng kết giao quân: 9 triệu đồng;</t>
  </si>
  <si>
    <t>Tuyển, giao quân năm 2019:
  + Phúc tra đăng ký độ tuổi: 6 phường, xã x 1.000.000 đ = 6 triệu đồng;
  + Hội nghị triển khai nhiệm vụ tuyển giao quân: 6 đơn vị x 6 người/đv x 150.000 đ=5,4 triệu đồng.
  + Họp hội đồng nghĩa vụ quân sự: 4 x2.000.000 đ =8 tr đồng.
  + Tổ chức khám tuyển quân: 0 triệu đồng (đã bố tri kp tại phòng y tế)
  + Tiền ăn cho công dân khám tuyển: 150 đ/c x 57.000 đ = 8,850 triệu đồng
  + Xét nghiệm HIV cho thanh niên trúng tuyer: 50 đ/c x 200.000 đ = 10 triệu đồng
  + Tuyên tryền tuyển giao quân: 5 triệu đồng;
  + CTP cho cán bộ tuyển giao quân: 0 triệu đồng;
  + Tiền ăn cho các đoàn kiểm tra tuyển giao quân: 5 triệu đồng
  + Tặng quà cho chiến sỹ mới và tổ chức học chính trị: 50 đ/c x 1.000.000 đ = 50 tr đ.
  + Tổ chức giao quân: 15 triệu đồng
  + Đón quân nhân hoàn thành nhiệm vụ về: 50 đ/c x 200.000 đ/người = 10 triệu đồng.
  + Văn hóa văn nghệ: 0 triệu đồng (đã  tính trong DT TTVH-TT)
  + Tuyên thệ chiến sỹ mới: 10 triệu đồng;
  + Tổng kết giao quân: 5 triệu đồng;</t>
  </si>
  <si>
    <t>Trợ cấp ngày công lao động của lực lượng DQTV 
(mức 0,08  mức lương tối thiểu theo quy định của Luật dân quân tự vệ)</t>
  </si>
  <si>
    <t>Đảm bảo Dân quân trực SSCĐ các ngày lễ tết, các ngày trọng điểm gây rối bạo loạn
   + Tiền ăn: 91 đ/c x 57.000 đ x 20 ngày = 103,740 triệu đồng.
   + Tiền ngày công: 91 đ/c x 130.000 đ/ngày x 20 ngày = 236,6 triệu đồng</t>
  </si>
  <si>
    <t>Kinh phí làm mái che kết hợp để xe cán bộ và vật chất phòng, chống thiên tai tìm kiếm cứu nạn</t>
  </si>
  <si>
    <t>Đã có ý kiến đồng ý hỗ trợ của TT thị ủy tại TB số 349-TB/ThU ngày 15/7/2019 và Văn bản số 192/HĐND ngày 30/7/2019</t>
  </si>
  <si>
    <t>Hỗ trợ thêm vì đã có kinh phí chi ngành</t>
  </si>
  <si>
    <t>Chi kỷ niệm 15 năm ngày hội toàn dân bảo vệ ANTQ; 
75 năm ngày thành lập lực lượng CAND
  + Chi tuyên truyền: 30 triệu đồng;
  + Chi hoạt động văn nghệ - thể thao: 70 triệu đồng
  + Quà lưu niệm CBCS: 200 đc x 750.000 đ = 150.000 đ;
  + Chi tổ chức mít tinh: 30 triệu đồng;</t>
  </si>
  <si>
    <t xml:space="preserve">Chi bảo vệ đại hội Đảng các cấp: </t>
  </si>
  <si>
    <t>Bố trí trong kinh phí ĐH Đảng</t>
  </si>
  <si>
    <t>Chi sửa chữa phương tiện, máy móc nghiệp vụ</t>
  </si>
  <si>
    <t>Chi sữa chữa, bảo dưỡng 02 cụm Camera</t>
  </si>
  <si>
    <t>Chi hoạt động văn hóa - thể thao</t>
  </si>
  <si>
    <t>Chi hoạt động lực lượng cảnh sát cơ động ban chuyên trách:
  - Tiền bồi dưỡng tập luyện: 180 triệu đồng;
  - Tiền mua dụng cụ huấn luyện: 50 triệu đồng;</t>
  </si>
  <si>
    <t>Kinh phí biên soạn niên gián thống kê 2019</t>
  </si>
  <si>
    <t>KINH PHÍ ĐẠI HỘI ĐẢNG CÁC CẤP</t>
  </si>
  <si>
    <t>KINH PHÍ ĐẢM BẢO ATGT</t>
  </si>
  <si>
    <t>THEO TỪNG LĨNH VỰC NĂM 2019 VÀ DỰ TOÁN NĂM 2020</t>
  </si>
  <si>
    <t xml:space="preserve">                   Hồng Lĩnh, ngày        tháng 12 năm 2019</t>
  </si>
  <si>
    <t>ƯỚC THỰC HIỆN NĂM 2019</t>
  </si>
  <si>
    <t>DỰ TOÁN NĂM 2020</t>
  </si>
  <si>
    <t xml:space="preserve">Kinh phí hỗ trợ người nghèo mua bảo hiểm y tế; đối tượng BTXH mua bảo hiểm xã hội </t>
  </si>
  <si>
    <t>Hội Khuyến Học - Giáo chức</t>
  </si>
  <si>
    <t>Kinh phí hỗ trợ tiền điện hộ nghèo, hộ chính sách</t>
  </si>
  <si>
    <t>Trợ giúp hàng tháng đối với hộ nghèo theo quy định tại NQ số 151/2019/NQ-HĐND ngày 177/2019</t>
  </si>
  <si>
    <t>Trung tâm hành chính công thị xã</t>
  </si>
  <si>
    <t>Chi cải cách tiền lương</t>
  </si>
  <si>
    <t xml:space="preserve">Kinh phí ĐH Đảng </t>
  </si>
  <si>
    <t>Chi ĐH Đảng</t>
  </si>
  <si>
    <t>Kinh phí đảm bảo ATGT</t>
  </si>
  <si>
    <t xml:space="preserve">                                              Hồng Lĩnh, ngày        tháng 12 năm 2019</t>
  </si>
  <si>
    <t>Hồng Lĩnh, ngày      tháng 12 năm 2019</t>
  </si>
  <si>
    <t>BIỂU TỔNG HỢP DỰ TOÁN CHI NGÂN SÁCH XÃ, PHƯỜNG NĂM 2020</t>
  </si>
  <si>
    <t>Tæng hîp thu NSNN cña c¸c ph­êng, x· ®­îc h­ëng n¨m 2020</t>
  </si>
  <si>
    <t>Thực hiện 11 tháng</t>
  </si>
  <si>
    <t xml:space="preserve">  + PhÝ b¶o vÖ MT ®èi víi n­íc th¶i sinh ho¹t</t>
  </si>
  <si>
    <t xml:space="preserve">  UBND THỊ XÃ HỒNG LĨNH</t>
  </si>
  <si>
    <t>PHÂN BỔ DỰ TOÁN CHI NGÂN SÁCH NHÀ NƯỚC CHO CÁC PHƯỜNG, XÃ NĂM 2020</t>
  </si>
  <si>
    <t>Số tiền (1490)</t>
  </si>
  <si>
    <t>Bảo hiểm y tế đại biểu HĐND</t>
  </si>
  <si>
    <t>Cán bộ không chuyên trách phường, xã theo NQ156/2019/NQ-HĐND (đã bảo gồm hỗ trợ đóng BHXH, BHYT)</t>
  </si>
  <si>
    <t>Cán bộ không chuyên trách thôn, TDP theo NQ156/2019/NQ-HĐND của HĐND tỉnh</t>
  </si>
  <si>
    <t xml:space="preserve"> + TDP loại 2</t>
  </si>
  <si>
    <t xml:space="preserve"> + TDP loại 3</t>
  </si>
  <si>
    <t>Người trực tiếp tham gia công việc ở thôn, TDP  theo NQ 156/2019/NQ-HĐND</t>
  </si>
  <si>
    <t>Hỗ trợ đóng BHXH cho Bí thư, khối trưởng, xã phường (14% x1.490.000 đ) theo NQ của HĐND thị xã</t>
  </si>
  <si>
    <t>PC Y tế thôn bản theo QĐ số75/2009/QĐ-TTg</t>
  </si>
  <si>
    <t xml:space="preserve">  - </t>
  </si>
  <si>
    <t xml:space="preserve">Phụ cấp thôn đội trưởng </t>
  </si>
  <si>
    <t>Kinh phí hỗ trợ MT phường, xã theo TT121/BTC</t>
  </si>
  <si>
    <t>Hỗ trợ kinh phí giám sát cộng đồng</t>
  </si>
  <si>
    <t>Hỗ trợ ngoài định mức</t>
  </si>
  <si>
    <t>Hỗ trợ kinh phí dự kiến hụt thu NS năm 2019</t>
  </si>
  <si>
    <t xml:space="preserve">Hỗ trợ kinh phí ĐH Đảng cấp phường, xã nhiệm kỳ 2020-2025 </t>
  </si>
  <si>
    <t xml:space="preserve">                                                                                   Trần Quang Tuấn</t>
  </si>
  <si>
    <t xml:space="preserve">Kinh phí hỗ trợ quỹ hội nông dân </t>
  </si>
  <si>
    <t>Kinh phí hoạt động quỹ hội nông dân</t>
  </si>
  <si>
    <t>3.3</t>
  </si>
  <si>
    <t>Kinh phí hỗ trợ hoạt động trung tâm học tập cộng đồng</t>
  </si>
  <si>
    <t>Kinh phí tổ chức HN gặp mặt, hoạt động VH-TDTT kỷ niệm 90 năm ngày thành lập UBMTTQ</t>
  </si>
  <si>
    <t>Mu</t>
  </si>
  <si>
    <t>Kinh phí hỗ trợ mua bã diệt chuột</t>
  </si>
  <si>
    <t>Kinh phí hoạt động ATGT</t>
  </si>
  <si>
    <t xml:space="preserve">Hỗ trợ trồng cây xanh đô thị </t>
  </si>
  <si>
    <t>Nguồn thu ngân sách cấp thị xã</t>
  </si>
  <si>
    <t>Các khoản thu được để lại chi 
QL qua NSNN</t>
  </si>
  <si>
    <t xml:space="preserve"> - Thu bổ sung có mục tiêu từ NS cấp tỉnh</t>
  </si>
  <si>
    <t>Tổng thu ngân sách NN trên địa bàn</t>
  </si>
  <si>
    <t xml:space="preserve"> Chi thường xuyên</t>
  </si>
  <si>
    <t>Chi sự nghiệp kinh tế</t>
  </si>
  <si>
    <t>Sự nghiệp Văn hoá TT - TDTT</t>
  </si>
  <si>
    <t xml:space="preserve"> Sự nghiệp thể dục thể thao</t>
  </si>
  <si>
    <t>Chi quản lý hành chính, Đảng, đoàn thể</t>
  </si>
  <si>
    <t>Quản lý nhà nước, Đảng, đoàn thể</t>
  </si>
  <si>
    <t>An ninh - Quốc phòng</t>
  </si>
  <si>
    <t>Chi khác ngân sách xã</t>
  </si>
  <si>
    <t>Chi thực hiện ĐH Đảng</t>
  </si>
  <si>
    <t xml:space="preserve"> Dự phòng ngân sách</t>
  </si>
  <si>
    <t xml:space="preserve"> Hỗ trợ ngoài định mức</t>
  </si>
  <si>
    <t>Hỗ trợ kinh phí hoạt động (dự kiến hụt thu NS)</t>
  </si>
  <si>
    <r>
      <t xml:space="preserve">Dự phòng ngân sách </t>
    </r>
    <r>
      <rPr>
        <sz val="11"/>
        <rFont val="Times New Roman"/>
        <family val="1"/>
      </rPr>
      <t>(4,5% từ mục 2 đến mục 8)</t>
    </r>
  </si>
  <si>
    <t>Chi từ nguồn thu cấp quyền sử dụng đất</t>
  </si>
  <si>
    <t>Chi từ nguồn bổ sung có mục tiêu của NS thị xã</t>
  </si>
  <si>
    <t>Chi từ nguồn kết du và chuyền nguồn năm trước chuyển sang</t>
  </si>
  <si>
    <t>Hồng Lĩnh, ngày     tháng 12 năm 2019</t>
  </si>
  <si>
    <t>BỔ SUNG TỪ NGÂN SÁCH THỊ XÃ CHO NGÂN SÁCH TỪNG PHƯỜNG, XÃ NĂM 2020</t>
  </si>
  <si>
    <t xml:space="preserve">                             ĐVT: Nghìn đồng</t>
  </si>
  <si>
    <t>DỰ TOÁN CHI CẤP THỊ XÃ THEO TỪNG ĐƠN VỊ, LĨNH VỰC NĂM 2020</t>
  </si>
  <si>
    <t xml:space="preserve">                                                                               Đơn vị tính: Nghìn đồng</t>
  </si>
  <si>
    <t>§¸nh gi¸ thùc hiÖn thu, chi ng©n s¸ch x·, ph­êng N¨m 2019 vµ dù to¸n 2020</t>
  </si>
  <si>
    <t>Dù to¸n 
n¨m 2019</t>
  </si>
  <si>
    <t>¦TH n¨m 2019</t>
  </si>
  <si>
    <t>Dù to¸n n¨m 2020</t>
  </si>
  <si>
    <t>Hång lÜnh, ngµy       th¸ng 12 n¨m 2019</t>
  </si>
  <si>
    <r>
      <rPr>
        <sz val="12"/>
        <color indexed="8"/>
        <rFont val="Times New Roman"/>
        <family val="1"/>
      </rPr>
      <t>Phường</t>
    </r>
    <r>
      <rPr>
        <sz val="12"/>
        <color indexed="8"/>
        <rFont val=".VnTime"/>
        <family val="2"/>
      </rPr>
      <t xml:space="preserve"> Trung L­¬ng</t>
    </r>
  </si>
  <si>
    <r>
      <rPr>
        <sz val="12"/>
        <color indexed="8"/>
        <rFont val="Times New Roman"/>
        <family val="1"/>
      </rPr>
      <t>Phường</t>
    </r>
    <r>
      <rPr>
        <sz val="12"/>
        <color indexed="8"/>
        <rFont val=".VnTime"/>
        <family val="2"/>
      </rPr>
      <t xml:space="preserve"> §Ëu Liªu</t>
    </r>
  </si>
  <si>
    <t xml:space="preserve">            §VT: Ngh×n ®ång</t>
  </si>
  <si>
    <t xml:space="preserve">                       Hồng Lĩnh, ngày        tháng 12 năm 2019</t>
  </si>
  <si>
    <t>Biểu 82/CK-NSNN</t>
  </si>
  <si>
    <t>Biểu số 83/CK-NSNN</t>
  </si>
  <si>
    <t>Biểu số 84/CK-NSNN</t>
  </si>
  <si>
    <t>Chia ra</t>
  </si>
  <si>
    <t>TỒNG CHI NGÂN SÁCH THỊ XÃ</t>
  </si>
  <si>
    <t>CHI BỔ SUNG CÂN ĐỐI CHO NGÂN SÁCH PHƯỜNG, XÃ</t>
  </si>
  <si>
    <t>CHI NS CẤP THỊ XÃ THEO TỪNG LĨNH VỰC</t>
  </si>
  <si>
    <t>Chi hoạt động QLNN, đảng, đoàn thể</t>
  </si>
  <si>
    <t>Chi giáo dục - đào tạo và dạy nghề</t>
  </si>
  <si>
    <t>Chi đảm bảo xã hội</t>
  </si>
  <si>
    <t>Chi QP- An ninh</t>
  </si>
  <si>
    <t>CHI CHUYỂN NGUỒN SANG NĂM SAU</t>
  </si>
  <si>
    <t>STT</t>
  </si>
  <si>
    <t>Chi đầu tư 
phát triển</t>
  </si>
  <si>
    <t>Chi thường 
xuyên</t>
  </si>
  <si>
    <t>Chi dự phòng 
ngân sách</t>
  </si>
  <si>
    <t>Chi tạo 
nguồn điều
 chỉnh tiền lương</t>
  </si>
  <si>
    <t>Chi 
thường
 xuyên</t>
  </si>
  <si>
    <t>Chi chuyển 
nguồn sang
 năm sau</t>
  </si>
  <si>
    <t>Chi chương trình mục
 tiêu quốc gia</t>
  </si>
  <si>
    <t>Văn phòng HĐND</t>
  </si>
  <si>
    <t>Văn phòng UBND</t>
  </si>
  <si>
    <t>Ủy ban MTTQ thị xã</t>
  </si>
  <si>
    <t>Hội Liên hiệp phụ nữ</t>
  </si>
  <si>
    <t>Hội nông dân</t>
  </si>
  <si>
    <t>Ban bảo vệ sức khỏe cán bộ</t>
  </si>
  <si>
    <t>Phòng Giáo dục - Đào tạo</t>
  </si>
  <si>
    <t>Phòng TC-KH</t>
  </si>
  <si>
    <t>Thanh tra thị xã</t>
  </si>
  <si>
    <t>Phòng Lao động - TB &amp; Xã hội</t>
  </si>
  <si>
    <t>Hội đồng TĐKT thị xã</t>
  </si>
  <si>
    <t>Ban vì sự tiến bộ phụ nữ</t>
  </si>
  <si>
    <t>Văn phòng Điều phối xây dựng NTM</t>
  </si>
  <si>
    <t>Trung tâm Hành chính công thị xã</t>
  </si>
  <si>
    <t>Chi QLNN, Đảng, đoàn thể</t>
  </si>
  <si>
    <t>Kinh phí kiến thiết thị chính</t>
  </si>
  <si>
    <t>Kinh phí hỗ trợ sản phẩm dịch vụ thủy lợi</t>
  </si>
  <si>
    <t xml:space="preserve">Đội Quản lý trật tự đô thị </t>
  </si>
  <si>
    <t xml:space="preserve">Trồng cây xanh đô thị </t>
  </si>
  <si>
    <t>Chi sự nghiệp Giáo dục - Đào tạo</t>
  </si>
  <si>
    <t>Kinh phí phân bổ về các trường</t>
  </si>
  <si>
    <t>Kinh phí thực hiện tăng lương do tăng hệ số trong năm</t>
  </si>
  <si>
    <t>Hỗ trợ hoạt động các Trung tâm học tập cộng đồng</t>
  </si>
  <si>
    <t>Kinh phí chi trả chế độ trợ giúp hàng tháng đối với hộ nghèo theo quy định tại Nghị quyết số 151/2019/NQ-HĐND ngày 17/7/2019</t>
  </si>
  <si>
    <t>Hội người mù</t>
  </si>
  <si>
    <t>Hội chữ thập đỏ</t>
  </si>
  <si>
    <t>Hội người cao tuổi</t>
  </si>
  <si>
    <t>Hội đông y</t>
  </si>
  <si>
    <t>Hội Liên hiệp các hội KHKT thị xã</t>
  </si>
  <si>
    <t>Hội Khuyến học - Giáo chức</t>
  </si>
  <si>
    <t>Hội Cựu thanh niên xung phong</t>
  </si>
  <si>
    <t>Kinh phí hoạt động CLB nữ doanh nhân</t>
  </si>
  <si>
    <t>Ban chỉ huy quân sự thị xã</t>
  </si>
  <si>
    <t>Kinh phí cải cách tiền lương</t>
  </si>
  <si>
    <t>Kinh phí thực hiện nhiệm vụ chưa phân bổ cho đơn vị</t>
  </si>
  <si>
    <r>
      <rPr>
        <b/>
        <sz val="14"/>
        <rFont val="Times New Roman"/>
        <family val="1"/>
      </rPr>
      <t xml:space="preserve">Hỗ trợ hoạt động của khối nội chính và các cơ quan: </t>
    </r>
    <r>
      <rPr>
        <sz val="14"/>
        <rFont val="Times New Roman"/>
        <family val="1"/>
      </rPr>
      <t>(Viện kiểm sát; Tòa án; Thi hành án; Kho bạc; Kiểm Lâm; Phòng cháy chữa cháy; Cụm 8; Chi cục thống kê (8đv x 20.000 đ/đv)); LĐLĐ: 30 triệu đồng; Hội thẩm: 10 triệu đồng)</t>
    </r>
  </si>
  <si>
    <t>Hỗ trợ xây dựng CSVC các Trường học trên địa bàn</t>
  </si>
  <si>
    <t>Kinh phí chi trả chế độ BTXH theo NĐ 136/2013/NĐ-CP</t>
  </si>
  <si>
    <t>Biểu số 86/CK-NSNN</t>
  </si>
  <si>
    <t xml:space="preserve">  ỦY BAN NHÂN DÂN </t>
  </si>
  <si>
    <t>Chi các hoạt động kinh tế</t>
  </si>
  <si>
    <t>Biểu số 89/CK-NSNN</t>
  </si>
  <si>
    <t>Tổng thu NSNN 
trên địa bàn</t>
  </si>
  <si>
    <t>Thu ngân sách xã hưởng 100%</t>
  </si>
  <si>
    <t>Thu ngân sách xã hưởng từ các khoản thu phân chia</t>
  </si>
  <si>
    <t>Số bổ sung cân đối từ ngân sách cấp thị xã</t>
  </si>
  <si>
    <t>Chi bổ sung 
thực hiện điều
 chỉnh tiền lương</t>
  </si>
  <si>
    <t xml:space="preserve">Thu chuyển nguồn
 từ năm trước
 chuyển sang </t>
  </si>
  <si>
    <t>Tổng chi cân
 đối ngân sách
 phường, xã</t>
  </si>
  <si>
    <t>UBND phường Bắc Hồng</t>
  </si>
  <si>
    <t>UBND phường Nam Hồng</t>
  </si>
  <si>
    <t>UBND phường Đức Thuận</t>
  </si>
  <si>
    <t>UBND phường Đậu Liêu</t>
  </si>
  <si>
    <t>UBND phường Trung Lương</t>
  </si>
  <si>
    <t>UBND xã Thuận Lộc</t>
  </si>
  <si>
    <t xml:space="preserve"> - Thu bảo vệ và phát triển đất trồng
 lúa và phạt của các cơ quan cấp tỉnh</t>
  </si>
  <si>
    <t>Thu ngân sách xã được hưởng 
theo phân cấp</t>
  </si>
  <si>
    <t>Biểu 81/CK-NSNN</t>
  </si>
  <si>
    <t>Dự toán 
năm 2021</t>
  </si>
  <si>
    <t>TỔNG THU NGÂN SÁCH THỊ XÃ</t>
  </si>
  <si>
    <t>CÂN ĐỐI NGÂN SÁCH THỊ XÃ NĂM 2021</t>
  </si>
  <si>
    <t>TỔNG CHI NGÂN SÁCH THỊ XÃ</t>
  </si>
  <si>
    <t>Tổng chi cân đối ngân sách huyện</t>
  </si>
  <si>
    <t>Chi dự phòng ngân sách</t>
  </si>
  <si>
    <t>Thu ngân sách thị xã hưởng theo phân cấp</t>
  </si>
  <si>
    <t>Các khoản thu NS cấp thị xã hưởng 100%</t>
  </si>
  <si>
    <t>Các khoản thu phân chia theo tỷ lệ %</t>
  </si>
  <si>
    <t>Thu chuyển nguồn, kết dư</t>
  </si>
  <si>
    <t>Thu bổ sung từ ngân sách cấp trên</t>
  </si>
  <si>
    <t>CÂN ĐỐI NGUỒN THU, CHI DỰ TOÁN NGÂN SÁCH CẤP THỊ XÃ VÀ
 NGÂN SÁCH CẤP PHƯỜNG XÃ NĂM 2021</t>
  </si>
  <si>
    <t>Thu quốc doanh</t>
  </si>
  <si>
    <t>Thuế môn bài</t>
  </si>
  <si>
    <t>Thuế VAT + TNDN</t>
  </si>
  <si>
    <t>Thuế tiêu thu đặc biệt</t>
  </si>
  <si>
    <t>Thuế tài nguyên</t>
  </si>
  <si>
    <t>DỰ TOÁN THU NSNN NĂM 2021 THEO TỪNG SẮC THUẾ</t>
  </si>
  <si>
    <t>Dự toán năm 2021</t>
  </si>
  <si>
    <t>Phí, lệ phí</t>
  </si>
  <si>
    <t>Thuế thu nhập cá nhận</t>
  </si>
  <si>
    <t>NS cấp phường, xã</t>
  </si>
  <si>
    <t>TỔNG CHI NSĐP</t>
  </si>
  <si>
    <t>Chi cân đối ngân sách</t>
  </si>
  <si>
    <t>Trong đó: Chia theo lĩnh vực</t>
  </si>
  <si>
    <t>Chi y tế, dân số và gia đình</t>
  </si>
  <si>
    <t>Chi quốc phòng</t>
  </si>
  <si>
    <t>Chi an ninh và trật tự an toàn xã hội</t>
  </si>
  <si>
    <t>Chi thể dục thể thao</t>
  </si>
  <si>
    <t>Chi quản lý hành chính, đảng, đoàn thể</t>
  </si>
  <si>
    <t>Chi sự nghiệp giáo dục</t>
  </si>
  <si>
    <t>Chi sự nghiệp đào tạo và dạy nghề</t>
  </si>
  <si>
    <t>Chi VHTT, TDTT và phát thanh, truyền hình, thông tấn</t>
  </si>
  <si>
    <t>Chi sự nghiệp văn hóa - Truyền thông</t>
  </si>
  <si>
    <t>Chi bảo vệ môi trường</t>
  </si>
  <si>
    <t xml:space="preserve">Chi tạo nguồn thực hiện CCTL theo quy định </t>
  </si>
  <si>
    <t>Chi hoạt động ATGT</t>
  </si>
  <si>
    <t>NS cấp
 thị xã</t>
  </si>
  <si>
    <t>DỰ TOÁN CHI NGÂN SÁCH CẤP THỊ XÃ THEO TỪNG LĨNH VỰC NĂM 2021</t>
  </si>
  <si>
    <t xml:space="preserve"> DỰ TOÁN CHI NGÂN SÁCH CẤP THỊ XÃ CHO TỪNG CƠ QUAN, TỔ CHỨC NĂM 2021</t>
  </si>
  <si>
    <t>Chi bầu cử đại biểu Quốc hội, HĐND các cấp</t>
  </si>
  <si>
    <t>Kinh phí hoạt động của văn phòng thường trực phòng chống bão lụt</t>
  </si>
  <si>
    <t>Kinh phí thu gom, xử lý rác thải, tiền điện chiếu sáng công cộng, chăm sóc cây cảnh đường phố năm 2021</t>
  </si>
  <si>
    <t>Kinh phí trả nợ thanh lý một số hợp đồng điện trang trí, di dời hệ thống điện, giải phân cách, hệ thống cây xanh thực hiện trong năm 2021 và lắp mới chậu hoa cây cảnh  nhưng chưa bố trí dự toán</t>
  </si>
  <si>
    <t>Trường THCS Bắc Hồng</t>
  </si>
  <si>
    <t>Trường THCS Trung Lương</t>
  </si>
  <si>
    <t>Trường THCS Đức Thuận</t>
  </si>
  <si>
    <t xml:space="preserve">Trường THCS Nam Hồng </t>
  </si>
  <si>
    <t>Trường TH và THCS Đậu Liêu</t>
  </si>
  <si>
    <t xml:space="preserve">Trường TH và THCS Thuận Lộc </t>
  </si>
  <si>
    <t>Trường TH Bắc Hồng</t>
  </si>
  <si>
    <t>Trường TH Trung Lương</t>
  </si>
  <si>
    <t>Trường TH  Đức Thuận</t>
  </si>
  <si>
    <t xml:space="preserve">Trường TH Nam Hồng </t>
  </si>
  <si>
    <t>Trường MN Đức Thuận</t>
  </si>
  <si>
    <t xml:space="preserve">Trường MN Thuận  Lộc </t>
  </si>
  <si>
    <t>Trương MN Trung Lương</t>
  </si>
  <si>
    <t>Trường MN Bắc Hồng</t>
  </si>
  <si>
    <t>Trường MN Đậu Liêu</t>
  </si>
  <si>
    <t>Trường MN Nam Hồng</t>
  </si>
  <si>
    <t>Kinh phí thuực hiện các nhiệm vụ phát triển giáo dục giai 
đoạn 2021-2025</t>
  </si>
  <si>
    <t xml:space="preserve">Sự nghiệp Y tế </t>
  </si>
  <si>
    <t>Trung tâm Y tế thị xã Hồng Lĩnh</t>
  </si>
  <si>
    <t xml:space="preserve">Kinh phí mua sắm sửa chữa tài sản </t>
  </si>
  <si>
    <t>Kinh phí hỗ trợ mua BHYT người nghèo và hoạt động khác</t>
  </si>
  <si>
    <t>Kinh phí hỗ trợ người dân tham gia BHXH tự nguyện và hộ
 gia đình giảm trừ tham gia bảo hiểm y tế</t>
  </si>
  <si>
    <t>Kinh phí hỗ trợ tiền điện hộ nghèo, hộ bảo trợ xã hội</t>
  </si>
  <si>
    <t>Kinh phí hỗ trợ thành viên hộ nghèo theo Nghị quyết số 179/2019/NQ-HĐND  ngày 15/12/2019 của HĐND tỉnh</t>
  </si>
  <si>
    <t>Kinh phí diễn tập phòng thủ</t>
  </si>
  <si>
    <t>Số sẽ phân bổ khi thu NS đạt KH</t>
  </si>
  <si>
    <t>Kinh phí thực hiện đề án "Quản lý hoạt động truyền thanh-
 truyền hình cấp huyệ năm 2020"</t>
  </si>
  <si>
    <t>KINH PHÍ ĐẢM BẢO ATGT TRÊN ĐỊA BÀN</t>
  </si>
  <si>
    <t>Kinh phí sự nghiệp Giáo dục và hỗ trợ xây dựng CSVC các trường học trên địa bàn</t>
  </si>
  <si>
    <t>Tổng
 số</t>
  </si>
  <si>
    <t xml:space="preserve"> DỰ TOÁN CHI ĐẦU TƯ PHÁT TRIỂN CỦA NGÂN SÁCH CẤP THỊ XÃ CHO TỪNG
CƠ QUAN, TỔ CHỨC THEO TỪNG LĨNH VỰC NĂM 2021</t>
  </si>
  <si>
    <t>Giáo dục ĐT và dạy nghề</t>
  </si>
  <si>
    <t>Chi y tế</t>
  </si>
  <si>
    <t>Chi Quốc phòng</t>
  </si>
  <si>
    <t>Chi an ninh</t>
  </si>
  <si>
    <t>Chi thể dục - thể thao</t>
  </si>
  <si>
    <t>1=2+…+8</t>
  </si>
  <si>
    <t>DỰ TOÁN THU, SỐ BỔ SUNG VÀ DỰ TOÁN CHI CÂN ĐỐI NGÂN SÁCH TỪNG PHƯỜNG, XÃ NĂM 2021</t>
  </si>
  <si>
    <r>
      <t xml:space="preserve"> ỦY BAN NHÂN DÂN                                                                               </t>
    </r>
    <r>
      <rPr>
        <b/>
        <sz val="10"/>
        <rFont val="Times New Roman"/>
        <family val="1"/>
      </rPr>
      <t xml:space="preserve">  Biểu số 85/CK-NSNN</t>
    </r>
    <r>
      <rPr>
        <b/>
        <sz val="12"/>
        <rFont val="Times New Roman"/>
        <family val="1"/>
      </rPr>
      <t xml:space="preserve">                                                            </t>
    </r>
  </si>
  <si>
    <r>
      <t xml:space="preserve">                                                                 </t>
    </r>
    <r>
      <rPr>
        <b/>
        <sz val="10"/>
        <rFont val="Times New Roman"/>
        <family val="1"/>
      </rPr>
      <t xml:space="preserve"> Biểu số 87/CK-NSNN</t>
    </r>
  </si>
  <si>
    <t xml:space="preserve">           ĐVT: Nghìn đồng.</t>
  </si>
  <si>
    <t>DỰ TOÁN CHI NGÂN SÁCH CẤP THỊ XÃ, CẤP PHƯỜNG XÃ THEO CƠ CẤU CHI NĂM 2021</t>
  </si>
  <si>
    <t>Dự toán
 năm 2021</t>
  </si>
</sst>
</file>

<file path=xl/styles.xml><?xml version="1.0" encoding="utf-8"?>
<styleSheet xmlns="http://schemas.openxmlformats.org/spreadsheetml/2006/main">
  <numFmts count="7">
    <numFmt numFmtId="164" formatCode="#,##0.0"/>
    <numFmt numFmtId="165" formatCode="0.0"/>
    <numFmt numFmtId="166" formatCode="#,##0.000"/>
    <numFmt numFmtId="167" formatCode="#,##0.0000"/>
    <numFmt numFmtId="168" formatCode="#,##0.000000"/>
    <numFmt numFmtId="169" formatCode="[$-F400]h:mm:ss\ AM/PM"/>
    <numFmt numFmtId="170" formatCode="#,##0.00000"/>
  </numFmts>
  <fonts count="196">
    <font>
      <sz val="12"/>
      <name val=".vntime"/>
    </font>
    <font>
      <sz val="12"/>
      <name val=".VnTime"/>
      <family val="2"/>
    </font>
    <font>
      <sz val="12"/>
      <name val=".VnTimeH"/>
      <family val="2"/>
    </font>
    <font>
      <i/>
      <sz val="12"/>
      <name val=".VnTime"/>
      <family val="2"/>
    </font>
    <font>
      <b/>
      <sz val="12"/>
      <name val=".VnTime"/>
      <family val="2"/>
    </font>
    <font>
      <sz val="11"/>
      <name val=".VnTimeH"/>
      <family val="2"/>
    </font>
    <font>
      <b/>
      <sz val="11"/>
      <name val=".VnTimeH"/>
      <family val="2"/>
    </font>
    <font>
      <b/>
      <sz val="12"/>
      <name val=".VnTimeH"/>
      <family val="2"/>
    </font>
    <font>
      <b/>
      <sz val="8"/>
      <color indexed="81"/>
      <name val="Tahoma"/>
      <family val="2"/>
    </font>
    <font>
      <sz val="8"/>
      <color indexed="81"/>
      <name val="Tahoma"/>
      <family val="2"/>
    </font>
    <font>
      <sz val="11"/>
      <name val=".VnTime"/>
      <family val="2"/>
    </font>
    <font>
      <sz val="10"/>
      <name val=".VnTime"/>
      <family val="2"/>
    </font>
    <font>
      <b/>
      <sz val="14"/>
      <name val=".VnTime"/>
      <family val="2"/>
    </font>
    <font>
      <sz val="9"/>
      <name val=".VnTime"/>
      <family val="2"/>
    </font>
    <font>
      <b/>
      <sz val="10"/>
      <name val=".VnTime"/>
      <family val="2"/>
    </font>
    <font>
      <b/>
      <sz val="11"/>
      <name val=".VnTime"/>
      <family val="2"/>
    </font>
    <font>
      <b/>
      <sz val="10"/>
      <name val=".VnTimeH"/>
      <family val="2"/>
    </font>
    <font>
      <i/>
      <sz val="10"/>
      <name val=".VnTime"/>
      <family val="2"/>
    </font>
    <font>
      <sz val="12"/>
      <name val=".VnTime"/>
      <family val="2"/>
    </font>
    <font>
      <sz val="8"/>
      <name val=".VnTime"/>
      <family val="2"/>
    </font>
    <font>
      <i/>
      <sz val="12"/>
      <name val=".VnTime"/>
      <family val="2"/>
    </font>
    <font>
      <sz val="11"/>
      <name val="Arial"/>
      <family val="2"/>
    </font>
    <font>
      <b/>
      <sz val="12"/>
      <name val="Times New Roman"/>
      <family val="1"/>
    </font>
    <font>
      <sz val="12"/>
      <name val="Times New Roman"/>
      <family val="1"/>
    </font>
    <font>
      <b/>
      <sz val="14"/>
      <name val="Times New Roman"/>
      <family val="1"/>
    </font>
    <font>
      <i/>
      <sz val="12"/>
      <name val="Times New Roman"/>
      <family val="1"/>
    </font>
    <font>
      <b/>
      <sz val="11"/>
      <name val="Times New Roman"/>
      <family val="1"/>
    </font>
    <font>
      <b/>
      <sz val="10"/>
      <name val="Times New Roman"/>
      <family val="1"/>
    </font>
    <font>
      <sz val="12"/>
      <color indexed="10"/>
      <name val="Times New Roman"/>
      <family val="1"/>
    </font>
    <font>
      <sz val="11"/>
      <name val="Times New Roman"/>
      <family val="1"/>
    </font>
    <font>
      <i/>
      <sz val="11"/>
      <name val="Times New Roman"/>
      <family val="1"/>
    </font>
    <font>
      <sz val="14"/>
      <name val="Times New Roman"/>
      <family val="1"/>
    </font>
    <font>
      <b/>
      <i/>
      <sz val="11"/>
      <name val="Times New Roman"/>
      <family val="1"/>
    </font>
    <font>
      <sz val="10"/>
      <name val="Times New Roman"/>
      <family val="1"/>
    </font>
    <font>
      <sz val="10"/>
      <name val="Arial"/>
      <family val="2"/>
    </font>
    <font>
      <b/>
      <u/>
      <sz val="11"/>
      <name val=".VnTime"/>
      <family val="2"/>
    </font>
    <font>
      <i/>
      <sz val="11"/>
      <name val=".VnTime"/>
      <family val="2"/>
    </font>
    <font>
      <i/>
      <sz val="10"/>
      <name val="Times New Roman"/>
      <family val="1"/>
    </font>
    <font>
      <sz val="9"/>
      <name val="Times New Roman"/>
      <family val="1"/>
    </font>
    <font>
      <sz val="11"/>
      <name val="Calibri"/>
      <family val="2"/>
    </font>
    <font>
      <b/>
      <i/>
      <sz val="10"/>
      <name val="Times New Roman"/>
      <family val="1"/>
    </font>
    <font>
      <b/>
      <sz val="10"/>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8"/>
      <name val="Times New Roman"/>
      <family val="1"/>
    </font>
    <font>
      <b/>
      <sz val="8"/>
      <name val="Times New Roman"/>
      <family val="1"/>
    </font>
    <font>
      <b/>
      <sz val="11"/>
      <color indexed="8"/>
      <name val="Times New Roman"/>
      <family val="1"/>
    </font>
    <font>
      <sz val="11"/>
      <color indexed="8"/>
      <name val="Times New Roman"/>
      <family val="1"/>
    </font>
    <font>
      <i/>
      <sz val="11"/>
      <color indexed="8"/>
      <name val="Times New Roman"/>
      <family val="1"/>
    </font>
    <font>
      <b/>
      <sz val="10"/>
      <color indexed="8"/>
      <name val="Times New Roman"/>
      <family val="1"/>
    </font>
    <font>
      <sz val="10"/>
      <color indexed="8"/>
      <name val="Times New Roman"/>
      <family val="1"/>
    </font>
    <font>
      <sz val="11"/>
      <color indexed="10"/>
      <name val="Times New Roman"/>
      <family val="1"/>
    </font>
    <font>
      <sz val="8"/>
      <name val=".VnTime"/>
      <family val="2"/>
    </font>
    <font>
      <b/>
      <sz val="11"/>
      <color indexed="12"/>
      <name val="Times New Roman"/>
      <family val="1"/>
    </font>
    <font>
      <sz val="11"/>
      <color indexed="12"/>
      <name val="Times New Roman"/>
      <family val="1"/>
    </font>
    <font>
      <sz val="10"/>
      <color indexed="10"/>
      <name val="Times New Roman"/>
      <family val="1"/>
    </font>
    <font>
      <b/>
      <sz val="12"/>
      <color indexed="12"/>
      <name val="Times New Roman"/>
      <family val="1"/>
    </font>
    <font>
      <b/>
      <sz val="10"/>
      <color indexed="12"/>
      <name val="Times New Roman"/>
      <family val="1"/>
    </font>
    <font>
      <sz val="12"/>
      <color indexed="12"/>
      <name val="Times New Roman"/>
      <family val="1"/>
    </font>
    <font>
      <sz val="10"/>
      <color indexed="12"/>
      <name val="Times New Roman"/>
      <family val="1"/>
    </font>
    <font>
      <b/>
      <sz val="12"/>
      <color indexed="10"/>
      <name val="Times New Roman"/>
      <family val="1"/>
    </font>
    <font>
      <sz val="10"/>
      <color indexed="8"/>
      <name val=".VnTime"/>
      <family val="2"/>
    </font>
    <font>
      <sz val="12"/>
      <color indexed="8"/>
      <name val="Times New Roman"/>
      <family val="1"/>
    </font>
    <font>
      <sz val="12"/>
      <color indexed="8"/>
      <name val=".VnTime"/>
      <family val="2"/>
    </font>
    <font>
      <sz val="11"/>
      <color indexed="8"/>
      <name val=".VnTime"/>
      <family val="2"/>
    </font>
    <font>
      <b/>
      <sz val="12"/>
      <color indexed="8"/>
      <name val=".VnTime"/>
      <family val="2"/>
    </font>
    <font>
      <b/>
      <sz val="12"/>
      <color indexed="8"/>
      <name val="Times New Roman"/>
      <family val="1"/>
    </font>
    <font>
      <sz val="12"/>
      <color indexed="8"/>
      <name val=".VnTime"/>
      <family val="2"/>
    </font>
    <font>
      <sz val="12"/>
      <color indexed="8"/>
      <name val="Times New Roman"/>
      <family val="1"/>
    </font>
    <font>
      <sz val="10"/>
      <color indexed="8"/>
      <name val="Times New Roman"/>
      <family val="1"/>
    </font>
    <font>
      <i/>
      <sz val="10"/>
      <color indexed="8"/>
      <name val="Times New Roman"/>
      <family val="1"/>
    </font>
    <font>
      <i/>
      <sz val="11"/>
      <color indexed="12"/>
      <name val="Times New Roman"/>
      <family val="1"/>
    </font>
    <font>
      <sz val="11"/>
      <name val=".VnTime"/>
      <family val="2"/>
    </font>
    <font>
      <i/>
      <sz val="11"/>
      <color indexed="8"/>
      <name val=".VnTime"/>
      <family val="2"/>
    </font>
    <font>
      <i/>
      <sz val="9"/>
      <name val=".VnTime"/>
      <family val="2"/>
    </font>
    <font>
      <i/>
      <sz val="8"/>
      <name val=".VnTime"/>
      <family val="2"/>
    </font>
    <font>
      <b/>
      <sz val="10"/>
      <color indexed="10"/>
      <name val="Times New Roman"/>
      <family val="1"/>
    </font>
    <font>
      <sz val="10"/>
      <color indexed="8"/>
      <name val="Times New Roman"/>
      <family val="1"/>
    </font>
    <font>
      <sz val="11"/>
      <color indexed="8"/>
      <name val="Times New Roman"/>
      <family val="1"/>
    </font>
    <font>
      <i/>
      <sz val="10"/>
      <color indexed="8"/>
      <name val="Times New Roman"/>
      <family val="1"/>
    </font>
    <font>
      <i/>
      <sz val="13"/>
      <name val=".VnTime"/>
      <family val="2"/>
    </font>
    <font>
      <b/>
      <sz val="13"/>
      <name val=".VnTimeH"/>
      <family val="2"/>
    </font>
    <font>
      <sz val="14"/>
      <color indexed="8"/>
      <name val="Times New Roman"/>
      <family val="1"/>
    </font>
    <font>
      <b/>
      <sz val="13"/>
      <name val=".VnTime"/>
      <family val="2"/>
    </font>
    <font>
      <sz val="13"/>
      <name val="Times New Roman"/>
      <family val="1"/>
    </font>
    <font>
      <i/>
      <sz val="10"/>
      <color indexed="8"/>
      <name val=".VnTime"/>
      <family val="2"/>
    </font>
    <font>
      <sz val="11"/>
      <color indexed="8"/>
      <name val=".VnTime"/>
      <family val="2"/>
    </font>
    <font>
      <sz val="11"/>
      <color indexed="10"/>
      <name val=".VnTime"/>
      <family val="2"/>
    </font>
    <font>
      <b/>
      <sz val="10"/>
      <color indexed="8"/>
      <name val=".VnTime"/>
      <family val="2"/>
    </font>
    <font>
      <sz val="12"/>
      <name val="Traditional Arabic"/>
      <family val="1"/>
    </font>
    <font>
      <sz val="12"/>
      <color indexed="8"/>
      <name val=".VnTime"/>
      <family val="2"/>
    </font>
    <font>
      <i/>
      <sz val="12"/>
      <color indexed="8"/>
      <name val=".VnTime"/>
      <family val="2"/>
    </font>
    <font>
      <sz val="10"/>
      <color indexed="10"/>
      <name val=".vntime"/>
      <family val="2"/>
    </font>
    <font>
      <sz val="11"/>
      <color indexed="8"/>
      <name val="Times New Roman"/>
      <family val="1"/>
    </font>
    <font>
      <i/>
      <sz val="12"/>
      <color indexed="12"/>
      <name val="Times New Roman"/>
      <family val="1"/>
    </font>
    <font>
      <sz val="8"/>
      <name val=".VnTime"/>
      <family val="2"/>
    </font>
    <font>
      <b/>
      <i/>
      <sz val="10"/>
      <color indexed="8"/>
      <name val="Times New Roman"/>
      <family val="1"/>
    </font>
    <font>
      <b/>
      <sz val="11"/>
      <color indexed="8"/>
      <name val=".VnTime"/>
      <family val="2"/>
    </font>
    <font>
      <b/>
      <i/>
      <sz val="11"/>
      <color indexed="8"/>
      <name val=".VnTime"/>
      <family val="2"/>
    </font>
    <font>
      <sz val="11"/>
      <color theme="1"/>
      <name val="Times New Roman"/>
      <family val="1"/>
    </font>
    <font>
      <sz val="12"/>
      <color rgb="FFFF0000"/>
      <name val="Times New Roman"/>
      <family val="1"/>
    </font>
    <font>
      <sz val="8"/>
      <name val="Arial"/>
      <family val="2"/>
    </font>
    <font>
      <b/>
      <sz val="10"/>
      <color rgb="FFFF0000"/>
      <name val="Times New Roman"/>
      <family val="1"/>
    </font>
    <font>
      <b/>
      <sz val="12"/>
      <color rgb="FFFF0000"/>
      <name val="Times New Roman"/>
      <family val="1"/>
    </font>
    <font>
      <b/>
      <sz val="11"/>
      <color rgb="FFFF0000"/>
      <name val="Times New Roman"/>
      <family val="1"/>
    </font>
    <font>
      <b/>
      <sz val="10"/>
      <color theme="1"/>
      <name val="Times New Roman"/>
      <family val="1"/>
    </font>
    <font>
      <sz val="10"/>
      <color theme="1"/>
      <name val="Times New Roman"/>
      <family val="1"/>
    </font>
    <font>
      <sz val="11"/>
      <color theme="1"/>
      <name val=".VnTime"/>
      <family val="2"/>
    </font>
    <font>
      <sz val="12"/>
      <color theme="1"/>
      <name val="Times New Roman"/>
      <family val="1"/>
    </font>
    <font>
      <b/>
      <sz val="12"/>
      <color theme="1"/>
      <name val="Times New Roman"/>
      <family val="1"/>
    </font>
    <font>
      <b/>
      <sz val="11"/>
      <color theme="1"/>
      <name val="Times New Roman"/>
      <family val="1"/>
    </font>
    <font>
      <i/>
      <sz val="12"/>
      <color indexed="8"/>
      <name val="Times New Roman"/>
      <family val="1"/>
    </font>
    <font>
      <b/>
      <sz val="11"/>
      <color indexed="12"/>
      <name val="Arial Narrow"/>
      <family val="2"/>
    </font>
    <font>
      <b/>
      <sz val="8"/>
      <color indexed="12"/>
      <name val="Arial Narrow"/>
      <family val="2"/>
    </font>
    <font>
      <b/>
      <sz val="9"/>
      <color indexed="12"/>
      <name val="Arial Narrow"/>
      <family val="2"/>
    </font>
    <font>
      <b/>
      <sz val="12"/>
      <color indexed="12"/>
      <name val="Arial Narrow"/>
      <family val="2"/>
    </font>
    <font>
      <sz val="11"/>
      <color indexed="12"/>
      <name val="Arial Narrow"/>
      <family val="2"/>
    </font>
    <font>
      <sz val="8"/>
      <color indexed="12"/>
      <name val="Arial Narrow"/>
      <family val="2"/>
    </font>
    <font>
      <sz val="12"/>
      <color indexed="12"/>
      <name val="Arial Narrow"/>
      <family val="2"/>
    </font>
    <font>
      <sz val="12"/>
      <name val="Arial Narrow"/>
      <family val="2"/>
    </font>
    <font>
      <sz val="10"/>
      <color rgb="FFFF0000"/>
      <name val="Times New Roman"/>
      <family val="1"/>
    </font>
    <font>
      <b/>
      <sz val="8"/>
      <color rgb="FFFF0000"/>
      <name val="Arial Narrow"/>
      <family val="2"/>
    </font>
    <font>
      <b/>
      <sz val="11"/>
      <color rgb="FFFF0000"/>
      <name val="Arial Narrow"/>
      <family val="2"/>
    </font>
    <font>
      <sz val="12"/>
      <color rgb="FFFF0000"/>
      <name val="Arial Narrow"/>
      <family val="2"/>
    </font>
    <font>
      <sz val="8"/>
      <color rgb="FFFF0000"/>
      <name val="Arial Narrow"/>
      <family val="2"/>
    </font>
    <font>
      <sz val="12"/>
      <color rgb="FF0070C0"/>
      <name val="Arial Narrow"/>
      <family val="2"/>
    </font>
    <font>
      <sz val="12"/>
      <color theme="1"/>
      <name val="Arial Narrow"/>
      <family val="2"/>
    </font>
    <font>
      <sz val="11"/>
      <name val="Arial Narrow"/>
      <family val="2"/>
    </font>
    <font>
      <b/>
      <sz val="12"/>
      <color rgb="FFFF0000"/>
      <name val="Arial Narrow"/>
      <family val="2"/>
    </font>
    <font>
      <b/>
      <sz val="14"/>
      <color rgb="FFFF0000"/>
      <name val="Times New Roman"/>
      <family val="1"/>
    </font>
    <font>
      <sz val="14"/>
      <color rgb="FFFF0000"/>
      <name val="Times New Roman"/>
      <family val="1"/>
    </font>
    <font>
      <sz val="14"/>
      <color indexed="12"/>
      <name val="Arial Narrow"/>
      <family val="2"/>
    </font>
    <font>
      <sz val="12"/>
      <color indexed="10"/>
      <name val="Arial Narrow"/>
      <family val="2"/>
    </font>
    <font>
      <sz val="8"/>
      <color indexed="10"/>
      <name val="Arial Narrow"/>
      <family val="2"/>
    </font>
    <font>
      <b/>
      <sz val="12"/>
      <color rgb="FF0070C0"/>
      <name val="Times New Roman"/>
      <family val="1"/>
    </font>
    <font>
      <sz val="10"/>
      <color rgb="FF0070C0"/>
      <name val="Times New Roman"/>
      <family val="1"/>
    </font>
    <font>
      <b/>
      <sz val="11"/>
      <color rgb="FF0070C0"/>
      <name val="Times New Roman"/>
      <family val="1"/>
    </font>
    <font>
      <b/>
      <sz val="8"/>
      <color rgb="FF0070C0"/>
      <name val="Arial Narrow"/>
      <family val="2"/>
    </font>
    <font>
      <b/>
      <sz val="11"/>
      <color rgb="FF0070C0"/>
      <name val="Arial Narrow"/>
      <family val="2"/>
    </font>
    <font>
      <b/>
      <sz val="12"/>
      <color rgb="FF0070C0"/>
      <name val="Arial Narrow"/>
      <family val="2"/>
    </font>
    <font>
      <b/>
      <sz val="8"/>
      <color theme="1"/>
      <name val="Arial Narrow"/>
      <family val="2"/>
    </font>
    <font>
      <b/>
      <sz val="11"/>
      <color theme="1"/>
      <name val="Arial Narrow"/>
      <family val="2"/>
    </font>
    <font>
      <sz val="8"/>
      <color theme="1"/>
      <name val="Arial Narrow"/>
      <family val="2"/>
    </font>
    <font>
      <sz val="11"/>
      <color theme="1"/>
      <name val="Arial Narrow"/>
      <family val="2"/>
    </font>
    <font>
      <sz val="10"/>
      <name val="Calibri"/>
      <family val="2"/>
    </font>
    <font>
      <b/>
      <sz val="8"/>
      <color theme="1"/>
      <name val="Times New Roman"/>
      <family val="1"/>
    </font>
    <font>
      <sz val="8"/>
      <color theme="1"/>
      <name val="Times New Roman"/>
      <family val="1"/>
    </font>
    <font>
      <i/>
      <sz val="8"/>
      <color theme="1"/>
      <name val="Times New Roman"/>
      <family val="1"/>
    </font>
    <font>
      <sz val="8"/>
      <color rgb="FFFF0000"/>
      <name val="Times New Roman"/>
      <family val="1"/>
    </font>
    <font>
      <b/>
      <sz val="8"/>
      <color rgb="FFFF0000"/>
      <name val="Times New Roman"/>
      <family val="1"/>
    </font>
    <font>
      <b/>
      <sz val="8"/>
      <color theme="1"/>
      <name val=".VnTime"/>
      <family val="2"/>
    </font>
    <font>
      <i/>
      <sz val="10"/>
      <color theme="1"/>
      <name val=".VnTime"/>
      <family val="2"/>
    </font>
    <font>
      <i/>
      <sz val="10"/>
      <color theme="1"/>
      <name val="Times New Roman"/>
      <family val="1"/>
    </font>
    <font>
      <sz val="12"/>
      <color rgb="FF00B0F0"/>
      <name val="Times New Roman"/>
      <family val="1"/>
    </font>
    <font>
      <b/>
      <sz val="12"/>
      <color theme="1"/>
      <name val=".VnTime"/>
      <family val="2"/>
    </font>
    <font>
      <i/>
      <sz val="11"/>
      <color theme="1"/>
      <name val=".VnTime"/>
      <family val="2"/>
    </font>
    <font>
      <sz val="14"/>
      <color rgb="FF000000"/>
      <name val="Times New Roman"/>
      <family val="1"/>
    </font>
    <font>
      <sz val="11"/>
      <color rgb="FF0000CC"/>
      <name val=".VnTime"/>
      <family val="2"/>
    </font>
    <font>
      <b/>
      <sz val="12"/>
      <color rgb="FF0000CC"/>
      <name val=".VnTimeH"/>
      <family val="2"/>
    </font>
    <font>
      <sz val="12"/>
      <color rgb="FF0000FF"/>
      <name val=".VnTime"/>
      <family val="2"/>
    </font>
    <font>
      <b/>
      <sz val="12"/>
      <color rgb="FF3333FF"/>
      <name val="Times New Roman"/>
      <family val="1"/>
    </font>
    <font>
      <b/>
      <sz val="11"/>
      <color indexed="10"/>
      <name val="Times New Roman"/>
      <family val="1"/>
    </font>
    <font>
      <b/>
      <sz val="10"/>
      <color indexed="12"/>
      <name val="Arial Narrow"/>
      <family val="2"/>
    </font>
    <font>
      <sz val="10"/>
      <color indexed="12"/>
      <name val="Arial Narrow"/>
      <family val="2"/>
    </font>
    <font>
      <sz val="12"/>
      <color rgb="FF0000FF"/>
      <name val="Times New Roman"/>
      <family val="1"/>
    </font>
    <font>
      <sz val="12"/>
      <color rgb="FF3333FF"/>
      <name val="Times New Roman"/>
      <family val="1"/>
    </font>
    <font>
      <b/>
      <sz val="8"/>
      <color indexed="10"/>
      <name val="Arial Narrow"/>
      <family val="2"/>
    </font>
    <font>
      <b/>
      <sz val="11"/>
      <color indexed="10"/>
      <name val="Arial Narrow"/>
      <family val="2"/>
    </font>
    <font>
      <b/>
      <sz val="10"/>
      <color indexed="10"/>
      <name val="Arial Narrow"/>
      <family val="2"/>
    </font>
    <font>
      <sz val="12"/>
      <color rgb="FF3333FF"/>
      <name val="Arial Narrow"/>
      <family val="2"/>
    </font>
    <font>
      <sz val="11"/>
      <color rgb="FF3333FF"/>
      <name val="Arial Narrow"/>
      <family val="2"/>
    </font>
    <font>
      <sz val="10"/>
      <color rgb="FF3333FF"/>
      <name val="Arial Narrow"/>
      <family val="2"/>
    </font>
    <font>
      <sz val="11"/>
      <color rgb="FF3333FF"/>
      <name val="Times New Roman"/>
      <family val="1"/>
    </font>
    <font>
      <sz val="8"/>
      <color rgb="FF3333FF"/>
      <name val="Arial Narrow"/>
      <family val="2"/>
    </font>
    <font>
      <sz val="10"/>
      <color rgb="FF3333FF"/>
      <name val="Times New Roman"/>
      <family val="1"/>
    </font>
    <font>
      <b/>
      <sz val="12"/>
      <color indexed="10"/>
      <name val="Arial Narrow"/>
      <family val="2"/>
    </font>
    <font>
      <b/>
      <sz val="14"/>
      <color indexed="10"/>
      <name val="Times New Roman"/>
      <family val="1"/>
    </font>
    <font>
      <sz val="11"/>
      <color indexed="10"/>
      <name val="Arial Narrow"/>
      <family val="2"/>
    </font>
    <font>
      <b/>
      <sz val="12"/>
      <color rgb="FF0000FF"/>
      <name val="Times New Roman"/>
      <family val="1"/>
    </font>
    <font>
      <b/>
      <sz val="11"/>
      <color rgb="FF0000FF"/>
      <name val="Times New Roman"/>
      <family val="1"/>
    </font>
    <font>
      <b/>
      <sz val="8"/>
      <color indexed="30"/>
      <name val="Arial Narrow"/>
      <family val="2"/>
    </font>
    <font>
      <b/>
      <sz val="11"/>
      <color indexed="30"/>
      <name val="Arial Narrow"/>
      <family val="2"/>
    </font>
    <font>
      <b/>
      <sz val="11"/>
      <color rgb="FF3333FF"/>
      <name val="Arial Narrow"/>
      <family val="2"/>
    </font>
    <font>
      <b/>
      <sz val="10"/>
      <color rgb="FF3333FF"/>
      <name val="Arial Narrow"/>
      <family val="2"/>
    </font>
    <font>
      <sz val="10"/>
      <name val="Arial Narrow"/>
      <family val="2"/>
    </font>
    <font>
      <b/>
      <sz val="11"/>
      <color rgb="FF3333FF"/>
      <name val="Times New Roman"/>
      <family val="1"/>
    </font>
    <font>
      <sz val="10"/>
      <color theme="1"/>
      <name val=".VnTime"/>
      <family val="2"/>
    </font>
    <font>
      <b/>
      <sz val="8"/>
      <color indexed="8"/>
      <name val="Times New Roman"/>
      <family val="1"/>
    </font>
    <font>
      <sz val="8"/>
      <color indexed="8"/>
      <name val="Times New Roman"/>
      <family val="1"/>
    </font>
    <font>
      <i/>
      <sz val="8"/>
      <color indexed="8"/>
      <name val="Times New Roman"/>
      <family val="1"/>
    </font>
    <font>
      <sz val="8"/>
      <color indexed="10"/>
      <name val="Times New Roman"/>
      <family val="1"/>
    </font>
    <font>
      <b/>
      <sz val="8"/>
      <color indexed="10"/>
      <name val="Times New Roman"/>
      <family val="1"/>
    </font>
    <font>
      <b/>
      <sz val="8"/>
      <color indexed="8"/>
      <name val=".VnTime"/>
      <family val="2"/>
    </font>
    <font>
      <b/>
      <sz val="13"/>
      <name val="Times New Roman"/>
      <family val="1"/>
    </font>
    <font>
      <i/>
      <sz val="13"/>
      <name val="Times New Roman"/>
      <family val="1"/>
    </font>
  </fonts>
  <fills count="5">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rgb="FFFFFFFF"/>
        <bgColor indexed="64"/>
      </patternFill>
    </fill>
  </fills>
  <borders count="26">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hair">
        <color indexed="64"/>
      </top>
      <bottom style="thin">
        <color indexed="64"/>
      </bottom>
      <diagonal/>
    </border>
  </borders>
  <cellStyleXfs count="3">
    <xf numFmtId="0" fontId="0" fillId="0" borderId="0"/>
    <xf numFmtId="0" fontId="34" fillId="0" borderId="0"/>
    <xf numFmtId="9" fontId="1" fillId="0" borderId="0" applyFont="0" applyFill="0" applyBorder="0" applyAlignment="0" applyProtection="0"/>
  </cellStyleXfs>
  <cellXfs count="1246">
    <xf numFmtId="0" fontId="0" fillId="0" borderId="0" xfId="0"/>
    <xf numFmtId="3" fontId="0" fillId="0" borderId="0" xfId="0" applyNumberFormat="1"/>
    <xf numFmtId="3" fontId="4" fillId="0" borderId="0" xfId="0" applyNumberFormat="1" applyFont="1"/>
    <xf numFmtId="3" fontId="0" fillId="0" borderId="0" xfId="0" applyNumberFormat="1" applyAlignment="1">
      <alignment horizontal="center"/>
    </xf>
    <xf numFmtId="3" fontId="4" fillId="0" borderId="0" xfId="0" applyNumberFormat="1" applyFont="1" applyAlignment="1">
      <alignment horizontal="center"/>
    </xf>
    <xf numFmtId="3" fontId="3" fillId="0" borderId="0" xfId="0" applyNumberFormat="1" applyFont="1"/>
    <xf numFmtId="3" fontId="4" fillId="0" borderId="0" xfId="0" applyNumberFormat="1" applyFont="1" applyAlignment="1">
      <alignment horizontal="center" vertical="center" wrapText="1"/>
    </xf>
    <xf numFmtId="3" fontId="18" fillId="0" borderId="0" xfId="0" applyNumberFormat="1" applyFont="1"/>
    <xf numFmtId="3" fontId="0" fillId="0" borderId="1" xfId="0" applyNumberFormat="1" applyBorder="1"/>
    <xf numFmtId="3" fontId="7" fillId="0" borderId="0" xfId="0" applyNumberFormat="1" applyFont="1" applyAlignment="1">
      <alignment horizontal="left"/>
    </xf>
    <xf numFmtId="3" fontId="2" fillId="0" borderId="0" xfId="0" applyNumberFormat="1" applyFont="1" applyAlignment="1">
      <alignment horizontal="center"/>
    </xf>
    <xf numFmtId="3" fontId="20" fillId="0" borderId="0" xfId="0" applyNumberFormat="1" applyFont="1"/>
    <xf numFmtId="3" fontId="0" fillId="0" borderId="0" xfId="0" applyNumberFormat="1" applyAlignment="1"/>
    <xf numFmtId="3" fontId="18" fillId="0" borderId="1" xfId="0" applyNumberFormat="1" applyFont="1" applyBorder="1"/>
    <xf numFmtId="3" fontId="5" fillId="0" borderId="0" xfId="0" applyNumberFormat="1" applyFont="1" applyAlignment="1">
      <alignment horizontal="center"/>
    </xf>
    <xf numFmtId="3" fontId="6" fillId="0" borderId="0" xfId="0" applyNumberFormat="1" applyFont="1" applyAlignment="1">
      <alignment horizontal="center"/>
    </xf>
    <xf numFmtId="3" fontId="20" fillId="0" borderId="1" xfId="0" applyNumberFormat="1" applyFont="1" applyBorder="1"/>
    <xf numFmtId="3" fontId="22" fillId="0" borderId="0" xfId="0" applyNumberFormat="1" applyFont="1" applyAlignment="1">
      <alignment horizontal="left"/>
    </xf>
    <xf numFmtId="3" fontId="23" fillId="0" borderId="0" xfId="0" applyNumberFormat="1" applyFont="1"/>
    <xf numFmtId="3" fontId="24" fillId="0" borderId="0" xfId="0" applyNumberFormat="1" applyFont="1" applyAlignment="1">
      <alignment horizontal="center"/>
    </xf>
    <xf numFmtId="3" fontId="23" fillId="0" borderId="0" xfId="0" applyNumberFormat="1" applyFont="1" applyAlignment="1">
      <alignment horizontal="center"/>
    </xf>
    <xf numFmtId="3" fontId="22" fillId="0" borderId="2" xfId="0" applyNumberFormat="1" applyFont="1" applyBorder="1" applyAlignment="1">
      <alignment horizontal="center" vertical="center" wrapText="1"/>
    </xf>
    <xf numFmtId="3" fontId="22" fillId="0" borderId="0" xfId="0" applyNumberFormat="1" applyFont="1"/>
    <xf numFmtId="3" fontId="23" fillId="0" borderId="1" xfId="0" applyNumberFormat="1" applyFont="1" applyFill="1" applyBorder="1"/>
    <xf numFmtId="3" fontId="22" fillId="0" borderId="0" xfId="0" applyNumberFormat="1" applyFont="1" applyAlignment="1">
      <alignment horizontal="center"/>
    </xf>
    <xf numFmtId="3" fontId="26" fillId="0" borderId="0" xfId="0" applyNumberFormat="1" applyFont="1" applyAlignment="1">
      <alignment horizontal="center"/>
    </xf>
    <xf numFmtId="3" fontId="26" fillId="0" borderId="0" xfId="0" applyNumberFormat="1" applyFont="1" applyAlignment="1"/>
    <xf numFmtId="3" fontId="22" fillId="0" borderId="0" xfId="0" applyNumberFormat="1" applyFont="1" applyAlignment="1"/>
    <xf numFmtId="3" fontId="23" fillId="0" borderId="0" xfId="0" applyNumberFormat="1" applyFont="1" applyBorder="1" applyAlignment="1">
      <alignment horizontal="center"/>
    </xf>
    <xf numFmtId="3" fontId="23" fillId="0" borderId="0" xfId="0" applyNumberFormat="1" applyFont="1" applyBorder="1"/>
    <xf numFmtId="3" fontId="22" fillId="0" borderId="0" xfId="0" applyNumberFormat="1" applyFont="1" applyAlignment="1">
      <alignment horizontal="left" vertical="center" wrapText="1"/>
    </xf>
    <xf numFmtId="3" fontId="23" fillId="0" borderId="0" xfId="0" applyNumberFormat="1" applyFont="1" applyAlignment="1">
      <alignment horizontal="left" vertical="center" wrapText="1"/>
    </xf>
    <xf numFmtId="3" fontId="31" fillId="0" borderId="0" xfId="0" applyNumberFormat="1" applyFont="1" applyBorder="1" applyAlignment="1">
      <alignment horizontal="center"/>
    </xf>
    <xf numFmtId="3" fontId="29" fillId="0" borderId="0" xfId="0" applyNumberFormat="1" applyFont="1" applyBorder="1"/>
    <xf numFmtId="3" fontId="22" fillId="0" borderId="0" xfId="0" applyNumberFormat="1" applyFont="1" applyBorder="1" applyAlignment="1">
      <alignment horizontal="left"/>
    </xf>
    <xf numFmtId="3" fontId="23" fillId="0" borderId="0" xfId="0" applyNumberFormat="1" applyFont="1" applyBorder="1" applyAlignment="1">
      <alignment horizontal="left" vertical="center" wrapText="1"/>
    </xf>
    <xf numFmtId="3" fontId="26" fillId="0" borderId="2" xfId="0" applyNumberFormat="1" applyFont="1" applyBorder="1" applyAlignment="1">
      <alignment horizontal="left" vertical="center" wrapText="1"/>
    </xf>
    <xf numFmtId="3" fontId="26" fillId="0" borderId="2" xfId="0" applyNumberFormat="1" applyFont="1" applyBorder="1"/>
    <xf numFmtId="3" fontId="22" fillId="0" borderId="2" xfId="0" applyNumberFormat="1" applyFont="1" applyBorder="1"/>
    <xf numFmtId="3" fontId="23" fillId="0" borderId="2" xfId="0" applyNumberFormat="1" applyFont="1" applyBorder="1"/>
    <xf numFmtId="3" fontId="29" fillId="0" borderId="2" xfId="0" applyNumberFormat="1" applyFont="1" applyBorder="1"/>
    <xf numFmtId="3" fontId="22" fillId="0" borderId="2" xfId="0" applyNumberFormat="1" applyFont="1" applyBorder="1" applyAlignment="1">
      <alignment horizontal="left" vertical="center" wrapText="1"/>
    </xf>
    <xf numFmtId="3" fontId="23" fillId="0" borderId="2" xfId="0" applyNumberFormat="1" applyFont="1" applyBorder="1" applyAlignment="1">
      <alignment horizontal="left" vertical="center" wrapText="1"/>
    </xf>
    <xf numFmtId="3" fontId="4" fillId="0" borderId="2" xfId="0" applyNumberFormat="1" applyFont="1" applyBorder="1" applyAlignment="1">
      <alignment horizontal="center" vertical="center" wrapText="1"/>
    </xf>
    <xf numFmtId="3" fontId="0" fillId="0" borderId="0" xfId="0" applyNumberFormat="1" applyBorder="1"/>
    <xf numFmtId="3" fontId="5" fillId="0" borderId="0" xfId="0" applyNumberFormat="1" applyFont="1" applyFill="1" applyAlignment="1"/>
    <xf numFmtId="3" fontId="5" fillId="0" borderId="0" xfId="0" applyNumberFormat="1" applyFont="1" applyFill="1"/>
    <xf numFmtId="3" fontId="35" fillId="0" borderId="0" xfId="0" applyNumberFormat="1" applyFont="1" applyFill="1" applyAlignment="1"/>
    <xf numFmtId="3" fontId="15" fillId="0" borderId="0" xfId="0" applyNumberFormat="1" applyFont="1" applyFill="1"/>
    <xf numFmtId="3" fontId="11" fillId="0" borderId="0" xfId="0" applyNumberFormat="1" applyFont="1" applyFill="1"/>
    <xf numFmtId="3" fontId="14" fillId="0" borderId="0" xfId="0" applyNumberFormat="1" applyFont="1" applyFill="1"/>
    <xf numFmtId="3" fontId="17" fillId="0" borderId="0" xfId="0" applyNumberFormat="1" applyFont="1" applyFill="1"/>
    <xf numFmtId="3" fontId="14" fillId="0" borderId="0" xfId="0" applyNumberFormat="1" applyFont="1" applyBorder="1"/>
    <xf numFmtId="3" fontId="10" fillId="0" borderId="0" xfId="0" applyNumberFormat="1" applyFont="1" applyAlignment="1">
      <alignment horizontal="center"/>
    </xf>
    <xf numFmtId="3" fontId="10" fillId="0" borderId="0" xfId="0" applyNumberFormat="1" applyFont="1"/>
    <xf numFmtId="3" fontId="6" fillId="0" borderId="0" xfId="0" applyNumberFormat="1" applyFont="1" applyAlignment="1">
      <alignment horizontal="left"/>
    </xf>
    <xf numFmtId="3" fontId="19" fillId="0" borderId="0" xfId="0" applyNumberFormat="1" applyFont="1"/>
    <xf numFmtId="3" fontId="10" fillId="0" borderId="0" xfId="0" applyNumberFormat="1" applyFont="1" applyBorder="1"/>
    <xf numFmtId="3" fontId="10" fillId="0" borderId="0" xfId="0" applyNumberFormat="1" applyFont="1" applyBorder="1" applyAlignment="1">
      <alignment horizontal="center" vertical="center" wrapText="1"/>
    </xf>
    <xf numFmtId="3" fontId="29" fillId="0" borderId="2" xfId="0" applyNumberFormat="1" applyFont="1" applyBorder="1" applyAlignment="1">
      <alignment horizontal="left" vertical="center" wrapText="1"/>
    </xf>
    <xf numFmtId="3" fontId="10" fillId="0" borderId="0" xfId="0" applyNumberFormat="1" applyFont="1" applyFill="1"/>
    <xf numFmtId="3" fontId="5" fillId="0" borderId="0" xfId="0" applyNumberFormat="1" applyFont="1" applyFill="1" applyAlignment="1">
      <alignment horizontal="left"/>
    </xf>
    <xf numFmtId="3" fontId="5" fillId="0" borderId="0" xfId="0" applyNumberFormat="1" applyFont="1" applyFill="1" applyAlignment="1">
      <alignment horizontal="center"/>
    </xf>
    <xf numFmtId="3" fontId="6" fillId="0" borderId="0" xfId="0" applyNumberFormat="1" applyFont="1" applyFill="1" applyAlignment="1">
      <alignment horizontal="left"/>
    </xf>
    <xf numFmtId="3" fontId="35" fillId="0" borderId="0" xfId="0" applyNumberFormat="1" applyFont="1" applyFill="1" applyAlignment="1">
      <alignment horizontal="center"/>
    </xf>
    <xf numFmtId="3" fontId="29" fillId="0" borderId="0" xfId="0" applyNumberFormat="1" applyFont="1" applyFill="1" applyAlignment="1">
      <alignment horizontal="left"/>
    </xf>
    <xf numFmtId="3" fontId="14" fillId="0" borderId="0" xfId="0" applyNumberFormat="1" applyFont="1" applyFill="1" applyAlignment="1">
      <alignment horizontal="center" vertical="center" wrapText="1"/>
    </xf>
    <xf numFmtId="3" fontId="11" fillId="0" borderId="0" xfId="0" applyNumberFormat="1" applyFont="1" applyFill="1" applyAlignment="1">
      <alignment horizontal="center" vertical="center" wrapText="1"/>
    </xf>
    <xf numFmtId="3" fontId="11" fillId="0" borderId="0" xfId="0" applyNumberFormat="1" applyFont="1" applyFill="1" applyAlignment="1">
      <alignment horizontal="center"/>
    </xf>
    <xf numFmtId="3" fontId="36" fillId="0" borderId="0" xfId="0" applyNumberFormat="1" applyFont="1" applyFill="1" applyAlignment="1">
      <alignment horizontal="center"/>
    </xf>
    <xf numFmtId="3" fontId="14" fillId="0" borderId="0" xfId="0" applyNumberFormat="1" applyFont="1" applyFill="1" applyAlignment="1">
      <alignment horizontal="center"/>
    </xf>
    <xf numFmtId="3" fontId="33" fillId="0" borderId="2" xfId="0" applyNumberFormat="1" applyFont="1" applyBorder="1"/>
    <xf numFmtId="3" fontId="27" fillId="0" borderId="2" xfId="0" applyNumberFormat="1" applyFont="1" applyFill="1" applyBorder="1"/>
    <xf numFmtId="3" fontId="33" fillId="0" borderId="2" xfId="0" applyNumberFormat="1" applyFont="1" applyFill="1" applyBorder="1"/>
    <xf numFmtId="3" fontId="27" fillId="0" borderId="0" xfId="0" applyNumberFormat="1" applyFont="1" applyFill="1"/>
    <xf numFmtId="3" fontId="33" fillId="0" borderId="0" xfId="0" applyNumberFormat="1" applyFont="1" applyFill="1"/>
    <xf numFmtId="3" fontId="23" fillId="0" borderId="2" xfId="0" applyNumberFormat="1" applyFont="1" applyBorder="1" applyAlignment="1">
      <alignment horizontal="center"/>
    </xf>
    <xf numFmtId="3" fontId="22" fillId="0" borderId="2" xfId="0" applyNumberFormat="1" applyFont="1" applyBorder="1" applyAlignment="1">
      <alignment horizontal="center"/>
    </xf>
    <xf numFmtId="3" fontId="39" fillId="0" borderId="0" xfId="0" applyNumberFormat="1" applyFont="1" applyFill="1" applyAlignment="1">
      <alignment horizontal="center"/>
    </xf>
    <xf numFmtId="3" fontId="39" fillId="0" borderId="0" xfId="0" applyNumberFormat="1" applyFont="1" applyFill="1" applyAlignment="1">
      <alignment horizontal="left" vertical="center" wrapText="1"/>
    </xf>
    <xf numFmtId="3" fontId="39" fillId="0" borderId="0" xfId="0" applyNumberFormat="1" applyFont="1" applyFill="1"/>
    <xf numFmtId="3" fontId="27" fillId="0" borderId="0" xfId="0" applyNumberFormat="1" applyFont="1" applyFill="1" applyAlignment="1">
      <alignment horizontal="right"/>
    </xf>
    <xf numFmtId="3" fontId="27" fillId="0" borderId="0" xfId="0" applyNumberFormat="1" applyFont="1" applyFill="1" applyAlignment="1">
      <alignment horizontal="left"/>
    </xf>
    <xf numFmtId="3" fontId="40" fillId="0" borderId="0" xfId="0" applyNumberFormat="1" applyFont="1" applyFill="1" applyAlignment="1">
      <alignment horizontal="right"/>
    </xf>
    <xf numFmtId="3" fontId="33" fillId="0" borderId="0" xfId="0" applyNumberFormat="1" applyFont="1" applyFill="1" applyAlignment="1">
      <alignment horizontal="center"/>
    </xf>
    <xf numFmtId="3" fontId="27" fillId="0" borderId="0" xfId="0" applyNumberFormat="1" applyFont="1" applyFill="1" applyAlignment="1">
      <alignment horizontal="center"/>
    </xf>
    <xf numFmtId="3" fontId="32" fillId="0" borderId="0" xfId="0" applyNumberFormat="1" applyFont="1" applyFill="1" applyAlignment="1">
      <alignment horizontal="center"/>
    </xf>
    <xf numFmtId="3" fontId="40" fillId="0" borderId="0" xfId="0" applyNumberFormat="1" applyFont="1" applyFill="1" applyAlignment="1">
      <alignment horizontal="left"/>
    </xf>
    <xf numFmtId="3" fontId="22" fillId="0" borderId="0" xfId="0" applyNumberFormat="1" applyFont="1" applyBorder="1" applyAlignment="1">
      <alignment horizontal="center"/>
    </xf>
    <xf numFmtId="3" fontId="17" fillId="0" borderId="0" xfId="0" applyNumberFormat="1" applyFont="1" applyFill="1" applyAlignment="1">
      <alignment horizontal="center"/>
    </xf>
    <xf numFmtId="3" fontId="33" fillId="0" borderId="2" xfId="0" applyNumberFormat="1" applyFont="1" applyBorder="1" applyAlignment="1">
      <alignment horizontal="right"/>
    </xf>
    <xf numFmtId="3" fontId="23" fillId="0" borderId="2" xfId="0" applyNumberFormat="1" applyFont="1" applyFill="1" applyBorder="1" applyAlignment="1">
      <alignment horizontal="center"/>
    </xf>
    <xf numFmtId="3" fontId="23" fillId="0" borderId="2" xfId="0" applyNumberFormat="1" applyFont="1" applyFill="1" applyBorder="1"/>
    <xf numFmtId="3" fontId="22" fillId="0" borderId="2" xfId="0" applyNumberFormat="1" applyFont="1" applyFill="1" applyBorder="1"/>
    <xf numFmtId="3" fontId="11" fillId="0" borderId="0" xfId="0" applyNumberFormat="1" applyFont="1"/>
    <xf numFmtId="3" fontId="0" fillId="0" borderId="2" xfId="0" applyNumberFormat="1" applyBorder="1"/>
    <xf numFmtId="3" fontId="18" fillId="0" borderId="2" xfId="0" applyNumberFormat="1" applyFont="1" applyBorder="1"/>
    <xf numFmtId="3" fontId="4" fillId="0" borderId="2" xfId="0" applyNumberFormat="1" applyFont="1" applyBorder="1"/>
    <xf numFmtId="3" fontId="18" fillId="0" borderId="2" xfId="0" applyNumberFormat="1" applyFont="1" applyBorder="1" applyAlignment="1">
      <alignment horizontal="right"/>
    </xf>
    <xf numFmtId="3" fontId="14" fillId="0" borderId="2" xfId="0" applyNumberFormat="1" applyFont="1" applyFill="1" applyBorder="1" applyAlignment="1">
      <alignment horizontal="center"/>
    </xf>
    <xf numFmtId="3" fontId="4" fillId="0" borderId="2" xfId="0" applyNumberFormat="1" applyFont="1" applyBorder="1" applyAlignment="1">
      <alignment horizontal="center"/>
    </xf>
    <xf numFmtId="3" fontId="26" fillId="0" borderId="0" xfId="0" applyNumberFormat="1" applyFont="1" applyBorder="1"/>
    <xf numFmtId="3" fontId="25" fillId="0" borderId="0" xfId="0" applyNumberFormat="1" applyFont="1" applyBorder="1" applyAlignment="1">
      <alignment horizontal="center"/>
    </xf>
    <xf numFmtId="3" fontId="27" fillId="0" borderId="2" xfId="0" applyNumberFormat="1" applyFont="1" applyFill="1" applyBorder="1" applyAlignment="1">
      <alignment horizontal="right"/>
    </xf>
    <xf numFmtId="164" fontId="23" fillId="0" borderId="0" xfId="0" applyNumberFormat="1" applyFont="1"/>
    <xf numFmtId="3" fontId="14" fillId="0" borderId="1" xfId="0" applyNumberFormat="1" applyFont="1" applyFill="1" applyBorder="1" applyAlignment="1">
      <alignment horizontal="center"/>
    </xf>
    <xf numFmtId="3" fontId="26" fillId="0" borderId="1" xfId="0" applyNumberFormat="1" applyFont="1" applyFill="1" applyBorder="1" applyAlignment="1">
      <alignment horizontal="left" vertical="center" wrapText="1"/>
    </xf>
    <xf numFmtId="3" fontId="45" fillId="0" borderId="1" xfId="0" applyNumberFormat="1" applyFont="1" applyFill="1" applyBorder="1"/>
    <xf numFmtId="3" fontId="46" fillId="0" borderId="1" xfId="0" applyNumberFormat="1" applyFont="1" applyFill="1" applyBorder="1"/>
    <xf numFmtId="3" fontId="11" fillId="0" borderId="1" xfId="0" applyNumberFormat="1" applyFont="1" applyFill="1" applyBorder="1" applyAlignment="1">
      <alignment horizontal="center"/>
    </xf>
    <xf numFmtId="3" fontId="29" fillId="0" borderId="1" xfId="0" applyNumberFormat="1" applyFont="1" applyFill="1" applyBorder="1" applyAlignment="1">
      <alignment horizontal="left" vertical="center" wrapText="1"/>
    </xf>
    <xf numFmtId="3" fontId="17" fillId="0" borderId="1" xfId="0" applyNumberFormat="1" applyFont="1" applyFill="1" applyBorder="1" applyAlignment="1">
      <alignment horizontal="center"/>
    </xf>
    <xf numFmtId="164" fontId="45" fillId="0" borderId="1" xfId="0" applyNumberFormat="1" applyFont="1" applyFill="1" applyBorder="1"/>
    <xf numFmtId="3" fontId="14" fillId="0" borderId="4" xfId="0" applyNumberFormat="1" applyFont="1" applyFill="1" applyBorder="1" applyAlignment="1">
      <alignment horizontal="center"/>
    </xf>
    <xf numFmtId="3" fontId="46" fillId="0" borderId="4" xfId="0" applyNumberFormat="1" applyFont="1" applyFill="1" applyBorder="1"/>
    <xf numFmtId="3" fontId="46" fillId="0" borderId="2" xfId="0" applyNumberFormat="1" applyFont="1" applyFill="1" applyBorder="1"/>
    <xf numFmtId="3" fontId="23" fillId="0" borderId="0" xfId="0" applyNumberFormat="1" applyFont="1" applyFill="1"/>
    <xf numFmtId="3" fontId="23" fillId="0" borderId="0" xfId="0" applyNumberFormat="1" applyFont="1" applyFill="1" applyAlignment="1">
      <alignment horizontal="center"/>
    </xf>
    <xf numFmtId="3" fontId="22" fillId="0" borderId="0" xfId="0" applyNumberFormat="1" applyFont="1" applyFill="1"/>
    <xf numFmtId="3" fontId="22" fillId="0" borderId="0" xfId="0" applyNumberFormat="1" applyFont="1" applyFill="1" applyAlignment="1">
      <alignment horizontal="center" vertical="center" wrapText="1"/>
    </xf>
    <xf numFmtId="3" fontId="0" fillId="0" borderId="0" xfId="0" applyNumberFormat="1" applyAlignment="1">
      <alignment horizontal="center" vertical="center" wrapText="1"/>
    </xf>
    <xf numFmtId="3" fontId="22" fillId="0" borderId="0" xfId="0" applyNumberFormat="1" applyFont="1" applyBorder="1"/>
    <xf numFmtId="3" fontId="33" fillId="0" borderId="0" xfId="0" applyNumberFormat="1" applyFont="1" applyFill="1" applyBorder="1"/>
    <xf numFmtId="3" fontId="33" fillId="0" borderId="0" xfId="2" applyNumberFormat="1" applyFont="1" applyBorder="1"/>
    <xf numFmtId="3" fontId="27" fillId="0" borderId="0" xfId="2" applyNumberFormat="1" applyFont="1" applyBorder="1"/>
    <xf numFmtId="0" fontId="23" fillId="0" borderId="2" xfId="0" applyFont="1" applyBorder="1"/>
    <xf numFmtId="0" fontId="23" fillId="0" borderId="0" xfId="0" applyFont="1"/>
    <xf numFmtId="0" fontId="23" fillId="0" borderId="2" xfId="0" applyFont="1" applyBorder="1" applyAlignment="1">
      <alignment horizontal="center" vertical="center" wrapText="1"/>
    </xf>
    <xf numFmtId="0" fontId="22" fillId="0" borderId="2" xfId="0" applyFont="1" applyBorder="1"/>
    <xf numFmtId="0" fontId="22" fillId="0" borderId="2" xfId="0" applyFont="1" applyBorder="1" applyAlignment="1">
      <alignment horizontal="center"/>
    </xf>
    <xf numFmtId="0" fontId="22" fillId="0" borderId="0" xfId="0" applyFont="1"/>
    <xf numFmtId="0" fontId="29" fillId="0" borderId="0" xfId="0" applyFont="1"/>
    <xf numFmtId="3" fontId="23" fillId="0" borderId="0" xfId="0" applyNumberFormat="1" applyFont="1" applyFill="1" applyBorder="1"/>
    <xf numFmtId="3" fontId="33" fillId="0" borderId="0" xfId="0" applyNumberFormat="1" applyFont="1" applyFill="1" applyBorder="1" applyAlignment="1">
      <alignment horizontal="center"/>
    </xf>
    <xf numFmtId="3" fontId="23" fillId="0" borderId="0" xfId="0" applyNumberFormat="1" applyFont="1" applyFill="1" applyBorder="1" applyAlignment="1">
      <alignment horizontal="center"/>
    </xf>
    <xf numFmtId="3" fontId="22" fillId="0" borderId="2" xfId="0" applyNumberFormat="1" applyFont="1" applyFill="1" applyBorder="1" applyAlignment="1">
      <alignment horizontal="center"/>
    </xf>
    <xf numFmtId="3" fontId="22" fillId="0" borderId="2" xfId="0" applyNumberFormat="1" applyFont="1" applyFill="1" applyBorder="1" applyAlignment="1">
      <alignment wrapText="1"/>
    </xf>
    <xf numFmtId="3" fontId="23" fillId="0" borderId="2" xfId="0" applyNumberFormat="1" applyFont="1" applyFill="1" applyBorder="1" applyAlignment="1">
      <alignment wrapText="1"/>
    </xf>
    <xf numFmtId="3" fontId="33" fillId="0" borderId="2" xfId="0" applyNumberFormat="1" applyFont="1" applyFill="1" applyBorder="1" applyAlignment="1">
      <alignment horizontal="right"/>
    </xf>
    <xf numFmtId="3" fontId="22" fillId="0" borderId="2" xfId="0" applyNumberFormat="1" applyFont="1" applyFill="1" applyBorder="1" applyAlignment="1">
      <alignment horizontal="center" wrapText="1"/>
    </xf>
    <xf numFmtId="3" fontId="29" fillId="0" borderId="2" xfId="0" applyNumberFormat="1" applyFont="1" applyFill="1" applyBorder="1"/>
    <xf numFmtId="3" fontId="22" fillId="0" borderId="0" xfId="0" applyNumberFormat="1" applyFont="1" applyFill="1" applyBorder="1"/>
    <xf numFmtId="3" fontId="33" fillId="0" borderId="2" xfId="0" applyNumberFormat="1" applyFont="1" applyFill="1" applyBorder="1" applyAlignment="1">
      <alignment horizontal="center"/>
    </xf>
    <xf numFmtId="3" fontId="27" fillId="0" borderId="2" xfId="0" applyNumberFormat="1" applyFont="1" applyFill="1" applyBorder="1" applyAlignment="1"/>
    <xf numFmtId="3" fontId="27" fillId="0" borderId="2" xfId="0" applyNumberFormat="1" applyFont="1" applyFill="1" applyBorder="1" applyAlignment="1">
      <alignment horizontal="center"/>
    </xf>
    <xf numFmtId="3" fontId="0" fillId="0" borderId="0" xfId="0" applyNumberFormat="1" applyFill="1"/>
    <xf numFmtId="3" fontId="7" fillId="0" borderId="0" xfId="0" applyNumberFormat="1" applyFont="1" applyFill="1" applyAlignment="1"/>
    <xf numFmtId="3" fontId="0" fillId="0" borderId="0" xfId="0" applyNumberFormat="1" applyFill="1" applyAlignment="1">
      <alignment horizontal="center"/>
    </xf>
    <xf numFmtId="3" fontId="2" fillId="0" borderId="0" xfId="0" applyNumberFormat="1" applyFont="1" applyFill="1"/>
    <xf numFmtId="3" fontId="26" fillId="0" borderId="0" xfId="0" applyNumberFormat="1" applyFont="1" applyFill="1" applyAlignment="1">
      <alignment horizontal="center" vertical="center" wrapText="1"/>
    </xf>
    <xf numFmtId="3" fontId="14" fillId="0" borderId="2" xfId="0" applyNumberFormat="1" applyFont="1" applyFill="1" applyBorder="1"/>
    <xf numFmtId="3" fontId="27" fillId="0" borderId="2" xfId="0" applyNumberFormat="1" applyFont="1" applyFill="1" applyBorder="1" applyAlignment="1">
      <alignment horizontal="right" vertical="center" wrapText="1"/>
    </xf>
    <xf numFmtId="3" fontId="15" fillId="0" borderId="0" xfId="0" applyNumberFormat="1" applyFont="1" applyFill="1" applyAlignment="1">
      <alignment horizontal="center" vertical="center" wrapText="1"/>
    </xf>
    <xf numFmtId="3" fontId="36" fillId="0" borderId="0" xfId="0" applyNumberFormat="1" applyFont="1" applyFill="1"/>
    <xf numFmtId="3" fontId="21" fillId="0" borderId="0" xfId="0" applyNumberFormat="1" applyFont="1" applyFill="1" applyAlignment="1">
      <alignment horizontal="center"/>
    </xf>
    <xf numFmtId="3" fontId="21" fillId="0" borderId="0" xfId="0" applyNumberFormat="1" applyFont="1" applyFill="1"/>
    <xf numFmtId="3" fontId="26" fillId="0" borderId="0" xfId="0" applyNumberFormat="1" applyFont="1" applyFill="1"/>
    <xf numFmtId="3" fontId="29" fillId="0" borderId="0" xfId="0" applyNumberFormat="1" applyFont="1" applyFill="1"/>
    <xf numFmtId="3" fontId="23" fillId="0" borderId="0" xfId="0" applyNumberFormat="1" applyFont="1" applyFill="1" applyAlignment="1">
      <alignment horizontal="center" vertical="center" wrapText="1"/>
    </xf>
    <xf numFmtId="3" fontId="44" fillId="2" borderId="1" xfId="0" applyNumberFormat="1" applyFont="1" applyFill="1" applyBorder="1" applyAlignment="1">
      <alignment horizontal="center" vertical="center"/>
    </xf>
    <xf numFmtId="3" fontId="43" fillId="2" borderId="1" xfId="0" applyNumberFormat="1" applyFont="1" applyFill="1" applyBorder="1"/>
    <xf numFmtId="3" fontId="42" fillId="2" borderId="1" xfId="0" applyNumberFormat="1" applyFont="1" applyFill="1" applyBorder="1"/>
    <xf numFmtId="3" fontId="41" fillId="2" borderId="1" xfId="0" applyNumberFormat="1" applyFont="1" applyFill="1" applyBorder="1"/>
    <xf numFmtId="3" fontId="43" fillId="2" borderId="1" xfId="0" applyNumberFormat="1" applyFont="1" applyFill="1" applyBorder="1" applyAlignment="1">
      <alignment horizontal="center" vertical="center"/>
    </xf>
    <xf numFmtId="164" fontId="42" fillId="2" borderId="1" xfId="0" applyNumberFormat="1" applyFont="1" applyFill="1" applyBorder="1"/>
    <xf numFmtId="4" fontId="42" fillId="2" borderId="1" xfId="0" applyNumberFormat="1" applyFont="1" applyFill="1" applyBorder="1"/>
    <xf numFmtId="3" fontId="48" fillId="2" borderId="1" xfId="0" applyNumberFormat="1" applyFont="1" applyFill="1" applyBorder="1" applyAlignment="1">
      <alignment horizontal="left" vertical="center" wrapText="1"/>
    </xf>
    <xf numFmtId="3" fontId="11" fillId="3" borderId="0" xfId="0" applyNumberFormat="1" applyFont="1" applyFill="1"/>
    <xf numFmtId="3" fontId="62" fillId="2" borderId="1" xfId="0" applyNumberFormat="1" applyFont="1" applyFill="1" applyBorder="1" applyAlignment="1">
      <alignment horizontal="center"/>
    </xf>
    <xf numFmtId="3" fontId="54" fillId="2" borderId="1" xfId="0" applyNumberFormat="1" applyFont="1" applyFill="1" applyBorder="1" applyAlignment="1">
      <alignment horizontal="left" vertical="center" wrapText="1"/>
    </xf>
    <xf numFmtId="3" fontId="55" fillId="2" borderId="1" xfId="0" applyNumberFormat="1" applyFont="1" applyFill="1" applyBorder="1" applyAlignment="1">
      <alignment horizontal="left" vertical="center" wrapText="1"/>
    </xf>
    <xf numFmtId="3" fontId="57" fillId="2" borderId="1" xfId="0" applyNumberFormat="1" applyFont="1" applyFill="1" applyBorder="1" applyAlignment="1">
      <alignment horizontal="center" vertical="center"/>
    </xf>
    <xf numFmtId="3" fontId="58" fillId="2" borderId="1" xfId="0" applyNumberFormat="1" applyFont="1" applyFill="1" applyBorder="1"/>
    <xf numFmtId="3" fontId="59" fillId="2" borderId="1" xfId="0" applyNumberFormat="1" applyFont="1" applyFill="1" applyBorder="1" applyAlignment="1">
      <alignment horizontal="center" vertical="center"/>
    </xf>
    <xf numFmtId="3" fontId="60" fillId="2" borderId="1" xfId="0" applyNumberFormat="1" applyFont="1" applyFill="1" applyBorder="1"/>
    <xf numFmtId="3" fontId="59" fillId="2" borderId="1" xfId="0" applyNumberFormat="1" applyFont="1" applyFill="1" applyBorder="1"/>
    <xf numFmtId="3" fontId="61" fillId="2" borderId="1" xfId="0" applyNumberFormat="1" applyFont="1" applyFill="1" applyBorder="1" applyAlignment="1">
      <alignment horizontal="center" vertical="center"/>
    </xf>
    <xf numFmtId="3" fontId="55" fillId="2" borderId="1" xfId="0" applyNumberFormat="1" applyFont="1" applyFill="1" applyBorder="1"/>
    <xf numFmtId="3" fontId="59" fillId="0" borderId="0" xfId="0" applyNumberFormat="1" applyFont="1" applyFill="1"/>
    <xf numFmtId="3" fontId="22" fillId="0" borderId="0" xfId="0" applyNumberFormat="1" applyFont="1" applyFill="1" applyBorder="1" applyAlignment="1">
      <alignment horizontal="center" wrapText="1"/>
    </xf>
    <xf numFmtId="3" fontId="33" fillId="0" borderId="6" xfId="0" applyNumberFormat="1" applyFont="1" applyFill="1" applyBorder="1"/>
    <xf numFmtId="3" fontId="26" fillId="0" borderId="2" xfId="0" applyNumberFormat="1" applyFont="1" applyFill="1" applyBorder="1" applyAlignment="1">
      <alignment horizontal="left" vertical="center" wrapText="1"/>
    </xf>
    <xf numFmtId="3" fontId="22" fillId="0" borderId="0" xfId="0" applyNumberFormat="1" applyFont="1" applyBorder="1" applyAlignment="1"/>
    <xf numFmtId="167" fontId="10" fillId="0" borderId="0" xfId="0" applyNumberFormat="1" applyFont="1" applyFill="1"/>
    <xf numFmtId="0" fontId="22" fillId="0" borderId="0" xfId="0" applyFont="1" applyAlignment="1">
      <alignment horizontal="center"/>
    </xf>
    <xf numFmtId="3" fontId="63" fillId="0" borderId="2" xfId="0" applyNumberFormat="1" applyFont="1" applyBorder="1"/>
    <xf numFmtId="3" fontId="22" fillId="0" borderId="2" xfId="0" applyNumberFormat="1" applyFont="1" applyBorder="1" applyAlignment="1">
      <alignment horizontal="right"/>
    </xf>
    <xf numFmtId="3" fontId="16" fillId="0" borderId="7" xfId="0" applyNumberFormat="1" applyFont="1" applyBorder="1" applyAlignment="1">
      <alignment horizontal="center" wrapText="1"/>
    </xf>
    <xf numFmtId="3" fontId="65" fillId="0" borderId="2" xfId="0" applyNumberFormat="1" applyFont="1" applyBorder="1"/>
    <xf numFmtId="3" fontId="64" fillId="0" borderId="2" xfId="0" applyNumberFormat="1" applyFont="1" applyBorder="1"/>
    <xf numFmtId="3" fontId="64" fillId="0" borderId="2" xfId="0" applyNumberFormat="1" applyFont="1" applyFill="1" applyBorder="1"/>
    <xf numFmtId="3" fontId="66" fillId="0" borderId="2" xfId="0" applyNumberFormat="1" applyFont="1" applyBorder="1"/>
    <xf numFmtId="3" fontId="67" fillId="0" borderId="2" xfId="0" applyNumberFormat="1" applyFont="1" applyBorder="1"/>
    <xf numFmtId="3" fontId="23" fillId="0" borderId="2" xfId="0" applyNumberFormat="1" applyFont="1" applyFill="1" applyBorder="1" applyAlignment="1">
      <alignment horizontal="left" vertical="center" wrapText="1"/>
    </xf>
    <xf numFmtId="3" fontId="68" fillId="0" borderId="1" xfId="0" applyNumberFormat="1" applyFont="1" applyBorder="1"/>
    <xf numFmtId="3" fontId="69" fillId="0" borderId="1" xfId="0" applyNumberFormat="1" applyFont="1" applyBorder="1"/>
    <xf numFmtId="3" fontId="69" fillId="0" borderId="1" xfId="0" applyNumberFormat="1" applyFont="1" applyBorder="1" applyAlignment="1">
      <alignment horizontal="left"/>
    </xf>
    <xf numFmtId="3" fontId="44" fillId="0" borderId="7" xfId="0" applyNumberFormat="1" applyFont="1" applyFill="1" applyBorder="1" applyAlignment="1">
      <alignment horizontal="center" vertical="center" wrapText="1"/>
    </xf>
    <xf numFmtId="3" fontId="57" fillId="0" borderId="1" xfId="0" applyNumberFormat="1" applyFont="1" applyFill="1" applyBorder="1" applyAlignment="1">
      <alignment horizontal="center" vertical="center"/>
    </xf>
    <xf numFmtId="3" fontId="54" fillId="0" borderId="1" xfId="0" applyNumberFormat="1" applyFont="1" applyFill="1" applyBorder="1" applyAlignment="1">
      <alignment horizontal="left" vertical="center" wrapText="1"/>
    </xf>
    <xf numFmtId="3" fontId="57" fillId="2" borderId="1" xfId="0" applyNumberFormat="1" applyFont="1" applyFill="1" applyBorder="1"/>
    <xf numFmtId="164" fontId="60" fillId="2" borderId="1" xfId="0" applyNumberFormat="1" applyFont="1" applyFill="1" applyBorder="1"/>
    <xf numFmtId="3" fontId="58" fillId="2" borderId="1" xfId="0" applyNumberFormat="1" applyFont="1" applyFill="1" applyBorder="1" applyAlignment="1">
      <alignment horizontal="center"/>
    </xf>
    <xf numFmtId="3" fontId="58" fillId="2" borderId="1" xfId="0" applyNumberFormat="1" applyFont="1" applyFill="1" applyBorder="1" applyAlignment="1">
      <alignment horizontal="left"/>
    </xf>
    <xf numFmtId="0" fontId="54" fillId="2" borderId="1" xfId="0" applyNumberFormat="1" applyFont="1" applyFill="1" applyBorder="1" applyAlignment="1">
      <alignment horizontal="left" vertical="center" wrapText="1"/>
    </xf>
    <xf numFmtId="166" fontId="60" fillId="2" borderId="1" xfId="0" applyNumberFormat="1" applyFont="1" applyFill="1" applyBorder="1"/>
    <xf numFmtId="4" fontId="60" fillId="2" borderId="1" xfId="0" applyNumberFormat="1" applyFont="1" applyFill="1" applyBorder="1"/>
    <xf numFmtId="3" fontId="55" fillId="2" borderId="1" xfId="0" applyNumberFormat="1" applyFont="1" applyFill="1" applyBorder="1" applyAlignment="1">
      <alignment vertical="center" wrapText="1"/>
    </xf>
    <xf numFmtId="4" fontId="58" fillId="2" borderId="1" xfId="0" applyNumberFormat="1" applyFont="1" applyFill="1" applyBorder="1"/>
    <xf numFmtId="3" fontId="48" fillId="0" borderId="1" xfId="0" applyNumberFormat="1" applyFont="1" applyFill="1" applyBorder="1"/>
    <xf numFmtId="3" fontId="55" fillId="2" borderId="1" xfId="1" applyNumberFormat="1" applyFont="1" applyFill="1" applyBorder="1" applyAlignment="1">
      <alignment horizontal="left" vertical="center" wrapText="1"/>
    </xf>
    <xf numFmtId="3" fontId="55" fillId="2" borderId="1" xfId="0" applyNumberFormat="1" applyFont="1" applyFill="1" applyBorder="1" applyAlignment="1">
      <alignment wrapText="1"/>
    </xf>
    <xf numFmtId="3" fontId="55" fillId="2" borderId="1" xfId="0" applyNumberFormat="1" applyFont="1" applyFill="1" applyBorder="1" applyAlignment="1">
      <alignment horizontal="left"/>
    </xf>
    <xf numFmtId="3" fontId="59" fillId="2" borderId="1" xfId="0" applyNumberFormat="1" applyFont="1" applyFill="1" applyBorder="1" applyAlignment="1">
      <alignment horizontal="left" vertical="center" wrapText="1"/>
    </xf>
    <xf numFmtId="3" fontId="57" fillId="2" borderId="1" xfId="0" applyNumberFormat="1" applyFont="1" applyFill="1" applyBorder="1" applyAlignment="1">
      <alignment horizontal="left" vertical="center" wrapText="1"/>
    </xf>
    <xf numFmtId="3" fontId="31" fillId="0" borderId="0" xfId="0" applyNumberFormat="1" applyFont="1" applyFill="1"/>
    <xf numFmtId="3" fontId="60" fillId="3" borderId="1" xfId="0" applyNumberFormat="1" applyFont="1" applyFill="1" applyBorder="1"/>
    <xf numFmtId="3" fontId="54" fillId="2" borderId="1" xfId="1" applyNumberFormat="1" applyFont="1" applyFill="1" applyBorder="1" applyAlignment="1">
      <alignment horizontal="left" vertical="center" wrapText="1"/>
    </xf>
    <xf numFmtId="3" fontId="43" fillId="0" borderId="1" xfId="0" applyNumberFormat="1" applyFont="1" applyFill="1" applyBorder="1"/>
    <xf numFmtId="0" fontId="54" fillId="2" borderId="1" xfId="0" applyFont="1" applyFill="1" applyBorder="1" applyAlignment="1">
      <alignment horizontal="left" vertical="center" wrapText="1"/>
    </xf>
    <xf numFmtId="0" fontId="55" fillId="2" borderId="1" xfId="0" applyFont="1" applyFill="1" applyBorder="1" applyAlignment="1">
      <alignment horizontal="left" vertical="center" wrapText="1"/>
    </xf>
    <xf numFmtId="164" fontId="58" fillId="2" borderId="1" xfId="0" applyNumberFormat="1" applyFont="1" applyFill="1" applyBorder="1"/>
    <xf numFmtId="0" fontId="59" fillId="0" borderId="1" xfId="0" applyFont="1" applyBorder="1"/>
    <xf numFmtId="3" fontId="3" fillId="0" borderId="0" xfId="0" applyNumberFormat="1" applyFont="1" applyBorder="1" applyAlignment="1">
      <alignment horizontal="center"/>
    </xf>
    <xf numFmtId="3" fontId="47" fillId="0" borderId="7" xfId="0" applyNumberFormat="1" applyFont="1" applyBorder="1"/>
    <xf numFmtId="3" fontId="10" fillId="0" borderId="1" xfId="0" applyNumberFormat="1" applyFont="1" applyBorder="1"/>
    <xf numFmtId="3" fontId="65" fillId="0" borderId="1" xfId="0" applyNumberFormat="1" applyFont="1" applyBorder="1"/>
    <xf numFmtId="3" fontId="73" fillId="0" borderId="1" xfId="0" applyNumberFormat="1" applyFont="1" applyBorder="1"/>
    <xf numFmtId="9" fontId="73" fillId="0" borderId="1" xfId="0" applyNumberFormat="1" applyFont="1" applyBorder="1"/>
    <xf numFmtId="9" fontId="10" fillId="0" borderId="1" xfId="0" applyNumberFormat="1" applyFont="1" applyBorder="1"/>
    <xf numFmtId="3" fontId="48" fillId="0" borderId="1" xfId="0" applyNumberFormat="1" applyFont="1" applyBorder="1"/>
    <xf numFmtId="3" fontId="36" fillId="0" borderId="1" xfId="0" applyNumberFormat="1" applyFont="1" applyBorder="1"/>
    <xf numFmtId="9" fontId="36" fillId="0" borderId="1" xfId="0" applyNumberFormat="1" applyFont="1" applyBorder="1"/>
    <xf numFmtId="3" fontId="48" fillId="0" borderId="1" xfId="0" applyNumberFormat="1" applyFont="1" applyBorder="1" applyAlignment="1">
      <alignment horizontal="right"/>
    </xf>
    <xf numFmtId="9" fontId="65" fillId="0" borderId="1" xfId="0" applyNumberFormat="1" applyFont="1" applyBorder="1"/>
    <xf numFmtId="9" fontId="48" fillId="0" borderId="1" xfId="0" applyNumberFormat="1" applyFont="1" applyBorder="1"/>
    <xf numFmtId="3" fontId="74" fillId="0" borderId="1" xfId="0" applyNumberFormat="1" applyFont="1" applyBorder="1"/>
    <xf numFmtId="3" fontId="65" fillId="0" borderId="3" xfId="0" applyNumberFormat="1" applyFont="1" applyBorder="1"/>
    <xf numFmtId="3" fontId="48" fillId="0" borderId="2" xfId="0" applyNumberFormat="1" applyFont="1" applyBorder="1"/>
    <xf numFmtId="3" fontId="41" fillId="0" borderId="2" xfId="0" applyNumberFormat="1" applyFont="1" applyBorder="1"/>
    <xf numFmtId="3" fontId="14" fillId="0" borderId="0" xfId="0" applyNumberFormat="1" applyFont="1" applyFill="1" applyBorder="1" applyAlignment="1">
      <alignment horizontal="center"/>
    </xf>
    <xf numFmtId="3" fontId="13" fillId="0" borderId="0" xfId="0" applyNumberFormat="1" applyFont="1" applyFill="1"/>
    <xf numFmtId="3" fontId="76" fillId="0" borderId="0" xfId="0" applyNumberFormat="1" applyFont="1" applyFill="1" applyAlignment="1">
      <alignment horizontal="center"/>
    </xf>
    <xf numFmtId="3" fontId="56" fillId="0" borderId="0" xfId="2" applyNumberFormat="1" applyFont="1" applyBorder="1"/>
    <xf numFmtId="3" fontId="41" fillId="2" borderId="2" xfId="0" applyNumberFormat="1" applyFont="1" applyFill="1" applyBorder="1"/>
    <xf numFmtId="3" fontId="41" fillId="0" borderId="1" xfId="0" applyNumberFormat="1" applyFont="1" applyFill="1" applyBorder="1"/>
    <xf numFmtId="3" fontId="4" fillId="0" borderId="9" xfId="0" applyNumberFormat="1" applyFont="1" applyBorder="1" applyAlignment="1">
      <alignment horizontal="center" vertical="center" wrapText="1"/>
    </xf>
    <xf numFmtId="3" fontId="59" fillId="0" borderId="1" xfId="0" applyNumberFormat="1" applyFont="1" applyFill="1" applyBorder="1" applyAlignment="1">
      <alignment wrapText="1"/>
    </xf>
    <xf numFmtId="168" fontId="23" fillId="0" borderId="0" xfId="0" applyNumberFormat="1" applyFont="1"/>
    <xf numFmtId="3" fontId="31" fillId="0" borderId="0" xfId="0" applyNumberFormat="1" applyFont="1"/>
    <xf numFmtId="4" fontId="31" fillId="0" borderId="0" xfId="0" applyNumberFormat="1" applyFont="1"/>
    <xf numFmtId="4" fontId="83" fillId="0" borderId="0" xfId="0" applyNumberFormat="1" applyFont="1"/>
    <xf numFmtId="3" fontId="15" fillId="0" borderId="0" xfId="0" applyNumberFormat="1" applyFont="1" applyFill="1" applyBorder="1" applyAlignment="1">
      <alignment horizontal="center"/>
    </xf>
    <xf numFmtId="3" fontId="27" fillId="0" borderId="0" xfId="0" applyNumberFormat="1" applyFont="1" applyFill="1" applyBorder="1"/>
    <xf numFmtId="3" fontId="48" fillId="0" borderId="1" xfId="0" applyNumberFormat="1" applyFont="1" applyFill="1" applyBorder="1" applyAlignment="1">
      <alignment horizontal="left" vertical="center" wrapText="1"/>
    </xf>
    <xf numFmtId="3" fontId="71" fillId="0" borderId="1" xfId="0" applyNumberFormat="1" applyFont="1" applyFill="1" applyBorder="1" applyAlignment="1">
      <alignment horizontal="right" vertical="center" wrapText="1"/>
    </xf>
    <xf numFmtId="3" fontId="71" fillId="0" borderId="1" xfId="0" applyNumberFormat="1" applyFont="1" applyFill="1" applyBorder="1"/>
    <xf numFmtId="3" fontId="86" fillId="0" borderId="1" xfId="0" applyNumberFormat="1" applyFont="1" applyFill="1" applyBorder="1"/>
    <xf numFmtId="3" fontId="70" fillId="0" borderId="1" xfId="0" applyNumberFormat="1" applyFont="1" applyFill="1" applyBorder="1"/>
    <xf numFmtId="3" fontId="42" fillId="0" borderId="1" xfId="0" applyNumberFormat="1" applyFont="1" applyFill="1" applyBorder="1"/>
    <xf numFmtId="3" fontId="78" fillId="0" borderId="1" xfId="0" applyNumberFormat="1" applyFont="1" applyFill="1" applyBorder="1" applyAlignment="1">
      <alignment horizontal="right" vertical="center" wrapText="1"/>
    </xf>
    <xf numFmtId="3" fontId="62" fillId="0" borderId="1" xfId="0" applyNumberFormat="1" applyFont="1" applyFill="1" applyBorder="1"/>
    <xf numFmtId="3" fontId="80" fillId="0" borderId="1" xfId="0" applyNumberFormat="1" applyFont="1" applyFill="1" applyBorder="1"/>
    <xf numFmtId="3" fontId="42" fillId="0" borderId="1" xfId="0" applyNumberFormat="1" applyFont="1" applyFill="1" applyBorder="1" applyAlignment="1">
      <alignment horizontal="right" vertical="center" wrapText="1"/>
    </xf>
    <xf numFmtId="3" fontId="79" fillId="0" borderId="1" xfId="0" applyNumberFormat="1" applyFont="1" applyFill="1" applyBorder="1"/>
    <xf numFmtId="3" fontId="12" fillId="0" borderId="0" xfId="0" applyNumberFormat="1" applyFont="1" applyAlignment="1">
      <alignment horizontal="center"/>
    </xf>
    <xf numFmtId="3" fontId="41" fillId="0" borderId="2" xfId="0" applyNumberFormat="1" applyFont="1" applyFill="1" applyBorder="1"/>
    <xf numFmtId="3" fontId="42" fillId="0" borderId="2" xfId="0" applyNumberFormat="1" applyFont="1" applyFill="1" applyBorder="1"/>
    <xf numFmtId="3" fontId="50" fillId="0" borderId="2" xfId="0" applyNumberFormat="1" applyFont="1" applyFill="1" applyBorder="1"/>
    <xf numFmtId="3" fontId="51" fillId="0" borderId="2" xfId="0" applyNumberFormat="1" applyFont="1" applyFill="1" applyBorder="1"/>
    <xf numFmtId="3" fontId="70" fillId="0" borderId="2" xfId="0" applyNumberFormat="1" applyFont="1" applyFill="1" applyBorder="1"/>
    <xf numFmtId="3" fontId="77" fillId="0" borderId="2" xfId="0" applyNumberFormat="1" applyFont="1" applyFill="1" applyBorder="1"/>
    <xf numFmtId="3" fontId="77" fillId="0" borderId="2" xfId="0" applyNumberFormat="1" applyFont="1" applyFill="1" applyBorder="1" applyAlignment="1">
      <alignment horizontal="right"/>
    </xf>
    <xf numFmtId="3" fontId="29" fillId="0" borderId="7" xfId="0" applyNumberFormat="1" applyFont="1" applyBorder="1"/>
    <xf numFmtId="3" fontId="87" fillId="0" borderId="1" xfId="0" applyNumberFormat="1" applyFont="1" applyBorder="1"/>
    <xf numFmtId="10" fontId="87" fillId="0" borderId="1" xfId="0" applyNumberFormat="1" applyFont="1" applyBorder="1"/>
    <xf numFmtId="9" fontId="87" fillId="0" borderId="1" xfId="0" applyNumberFormat="1" applyFont="1" applyBorder="1"/>
    <xf numFmtId="3" fontId="7" fillId="0" borderId="0" xfId="0" applyNumberFormat="1" applyFont="1" applyAlignment="1"/>
    <xf numFmtId="3" fontId="38" fillId="0" borderId="2" xfId="0" applyNumberFormat="1" applyFont="1" applyFill="1" applyBorder="1" applyAlignment="1">
      <alignment horizontal="center" vertical="center" wrapText="1"/>
    </xf>
    <xf numFmtId="3" fontId="14" fillId="0" borderId="7" xfId="0" applyNumberFormat="1" applyFont="1" applyFill="1" applyBorder="1" applyAlignment="1">
      <alignment horizontal="center"/>
    </xf>
    <xf numFmtId="3" fontId="26" fillId="0" borderId="7" xfId="0" applyNumberFormat="1" applyFont="1" applyFill="1" applyBorder="1" applyAlignment="1">
      <alignment horizontal="left" vertical="center" wrapText="1"/>
    </xf>
    <xf numFmtId="3" fontId="45" fillId="0" borderId="7" xfId="0" applyNumberFormat="1" applyFont="1" applyFill="1" applyBorder="1"/>
    <xf numFmtId="166" fontId="11" fillId="0" borderId="0" xfId="0" applyNumberFormat="1" applyFont="1" applyFill="1"/>
    <xf numFmtId="3" fontId="30" fillId="0" borderId="1" xfId="0" applyNumberFormat="1" applyFont="1" applyFill="1" applyBorder="1" applyAlignment="1">
      <alignment horizontal="left" vertical="center" wrapText="1"/>
    </xf>
    <xf numFmtId="3" fontId="75" fillId="0" borderId="0" xfId="0" applyNumberFormat="1" applyFont="1" applyFill="1" applyAlignment="1">
      <alignment horizontal="center"/>
    </xf>
    <xf numFmtId="3" fontId="29" fillId="0" borderId="2" xfId="0" applyNumberFormat="1" applyFont="1" applyBorder="1" applyAlignment="1">
      <alignment horizontal="center"/>
    </xf>
    <xf numFmtId="3" fontId="29" fillId="0" borderId="2" xfId="2" applyNumberFormat="1" applyFont="1" applyBorder="1"/>
    <xf numFmtId="3" fontId="47" fillId="0" borderId="2" xfId="0" applyNumberFormat="1" applyFont="1" applyBorder="1"/>
    <xf numFmtId="3" fontId="48" fillId="0" borderId="2" xfId="0" applyNumberFormat="1" applyFont="1" applyBorder="1" applyAlignment="1">
      <alignment horizontal="right"/>
    </xf>
    <xf numFmtId="3" fontId="26" fillId="0" borderId="2" xfId="0" applyNumberFormat="1" applyFont="1" applyBorder="1" applyAlignment="1">
      <alignment horizontal="center"/>
    </xf>
    <xf numFmtId="3" fontId="52" fillId="0" borderId="2" xfId="0" applyNumberFormat="1" applyFont="1" applyBorder="1"/>
    <xf numFmtId="3" fontId="48" fillId="0" borderId="7" xfId="0" applyNumberFormat="1" applyFont="1" applyBorder="1"/>
    <xf numFmtId="3" fontId="88" fillId="0" borderId="0" xfId="0" applyNumberFormat="1" applyFont="1" applyFill="1"/>
    <xf numFmtId="3" fontId="41" fillId="0" borderId="2" xfId="0" applyNumberFormat="1" applyFont="1" applyFill="1" applyBorder="1" applyAlignment="1">
      <alignment horizontal="right" vertical="center" wrapText="1"/>
    </xf>
    <xf numFmtId="3" fontId="41" fillId="0" borderId="1" xfId="0" applyNumberFormat="1" applyFont="1" applyFill="1" applyBorder="1" applyAlignment="1">
      <alignment horizontal="right" vertical="center" wrapText="1"/>
    </xf>
    <xf numFmtId="3" fontId="70" fillId="0" borderId="1" xfId="0" applyNumberFormat="1" applyFont="1" applyFill="1" applyBorder="1" applyAlignment="1">
      <alignment horizontal="right" vertical="center" wrapText="1"/>
    </xf>
    <xf numFmtId="3" fontId="89" fillId="0" borderId="1" xfId="0" applyNumberFormat="1" applyFont="1" applyFill="1" applyBorder="1"/>
    <xf numFmtId="3" fontId="44" fillId="0" borderId="2" xfId="0" applyNumberFormat="1" applyFont="1" applyFill="1" applyBorder="1" applyAlignment="1">
      <alignment horizontal="center" vertical="center" wrapText="1"/>
    </xf>
    <xf numFmtId="3" fontId="90" fillId="0" borderId="0" xfId="0" applyNumberFormat="1" applyFont="1"/>
    <xf numFmtId="3" fontId="90" fillId="0" borderId="0" xfId="0" applyNumberFormat="1" applyFont="1" applyAlignment="1">
      <alignment horizontal="center"/>
    </xf>
    <xf numFmtId="3" fontId="91" fillId="0" borderId="1" xfId="0" applyNumberFormat="1" applyFont="1" applyBorder="1"/>
    <xf numFmtId="10" fontId="65" fillId="0" borderId="1" xfId="0" applyNumberFormat="1" applyFont="1" applyBorder="1"/>
    <xf numFmtId="3" fontId="64" fillId="0" borderId="1" xfId="0" applyNumberFormat="1" applyFont="1" applyBorder="1"/>
    <xf numFmtId="3" fontId="92" fillId="0" borderId="1" xfId="0" applyNumberFormat="1" applyFont="1" applyBorder="1"/>
    <xf numFmtId="9" fontId="74" fillId="0" borderId="1" xfId="0" applyNumberFormat="1" applyFont="1" applyBorder="1"/>
    <xf numFmtId="3" fontId="79" fillId="0" borderId="1" xfId="0" applyNumberFormat="1" applyFont="1" applyBorder="1"/>
    <xf numFmtId="9" fontId="79" fillId="0" borderId="1" xfId="0" applyNumberFormat="1" applyFont="1" applyBorder="1"/>
    <xf numFmtId="3" fontId="43" fillId="0" borderId="1" xfId="0" applyNumberFormat="1" applyFont="1" applyBorder="1"/>
    <xf numFmtId="3" fontId="91" fillId="0" borderId="1" xfId="0" applyNumberFormat="1" applyFont="1" applyBorder="1" applyAlignment="1">
      <alignment wrapText="1"/>
    </xf>
    <xf numFmtId="3" fontId="79" fillId="0" borderId="1" xfId="0" applyNumberFormat="1" applyFont="1" applyBorder="1" applyAlignment="1">
      <alignment horizontal="right"/>
    </xf>
    <xf numFmtId="9" fontId="79" fillId="0" borderId="1" xfId="0" applyNumberFormat="1" applyFont="1" applyBorder="1" applyAlignment="1">
      <alignment horizontal="right"/>
    </xf>
    <xf numFmtId="3" fontId="68" fillId="0" borderId="1" xfId="0" applyNumberFormat="1" applyFont="1" applyBorder="1" applyAlignment="1">
      <alignment wrapText="1"/>
    </xf>
    <xf numFmtId="3" fontId="64" fillId="0" borderId="3" xfId="0" applyNumberFormat="1" applyFont="1" applyBorder="1"/>
    <xf numFmtId="9" fontId="65" fillId="0" borderId="3" xfId="0" applyNumberFormat="1" applyFont="1" applyBorder="1"/>
    <xf numFmtId="3" fontId="26" fillId="0" borderId="2" xfId="0" applyNumberFormat="1" applyFont="1" applyBorder="1" applyAlignment="1">
      <alignment horizontal="center" vertical="center"/>
    </xf>
    <xf numFmtId="3" fontId="44" fillId="2" borderId="1" xfId="0" applyNumberFormat="1" applyFont="1" applyFill="1" applyBorder="1"/>
    <xf numFmtId="0" fontId="57" fillId="0" borderId="1" xfId="0" applyFont="1" applyBorder="1" applyAlignment="1">
      <alignment horizontal="left" vertical="center"/>
    </xf>
    <xf numFmtId="3" fontId="54" fillId="2" borderId="1" xfId="0" applyNumberFormat="1" applyFont="1" applyFill="1" applyBorder="1" applyAlignment="1">
      <alignment horizontal="right" vertical="center"/>
    </xf>
    <xf numFmtId="0" fontId="54" fillId="0" borderId="1" xfId="0" applyFont="1" applyBorder="1" applyAlignment="1">
      <alignment horizontal="left" vertical="center" wrapText="1"/>
    </xf>
    <xf numFmtId="3" fontId="58" fillId="2" borderId="1" xfId="0" applyNumberFormat="1" applyFont="1" applyFill="1" applyBorder="1" applyAlignment="1">
      <alignment horizontal="center" vertical="center"/>
    </xf>
    <xf numFmtId="3" fontId="54" fillId="2" borderId="1" xfId="0" applyNumberFormat="1" applyFont="1" applyFill="1" applyBorder="1" applyAlignment="1">
      <alignment horizontal="center" vertical="center"/>
    </xf>
    <xf numFmtId="3" fontId="57" fillId="0" borderId="1" xfId="0" applyNumberFormat="1" applyFont="1" applyFill="1" applyBorder="1" applyAlignment="1">
      <alignment horizontal="center"/>
    </xf>
    <xf numFmtId="3" fontId="57" fillId="0" borderId="4" xfId="0" applyNumberFormat="1" applyFont="1" applyFill="1" applyBorder="1" applyAlignment="1">
      <alignment horizontal="center" vertical="center"/>
    </xf>
    <xf numFmtId="3" fontId="58" fillId="2" borderId="2" xfId="0" applyNumberFormat="1" applyFont="1" applyFill="1" applyBorder="1"/>
    <xf numFmtId="3" fontId="54" fillId="2" borderId="2" xfId="0" applyNumberFormat="1" applyFont="1" applyFill="1" applyBorder="1" applyAlignment="1">
      <alignment horizontal="center" vertical="center" wrapText="1"/>
    </xf>
    <xf numFmtId="0" fontId="26" fillId="0" borderId="2" xfId="0" applyNumberFormat="1" applyFont="1" applyBorder="1" applyAlignment="1">
      <alignment horizontal="center" vertical="center"/>
    </xf>
    <xf numFmtId="3" fontId="47" fillId="0" borderId="2" xfId="0" applyNumberFormat="1" applyFont="1" applyFill="1" applyBorder="1" applyAlignment="1">
      <alignment horizontal="right"/>
    </xf>
    <xf numFmtId="3" fontId="22" fillId="0" borderId="2" xfId="0" applyNumberFormat="1" applyFont="1" applyFill="1" applyBorder="1" applyAlignment="1">
      <alignment horizontal="center" vertical="center"/>
    </xf>
    <xf numFmtId="3" fontId="94" fillId="0" borderId="2" xfId="0" applyNumberFormat="1" applyFont="1" applyBorder="1"/>
    <xf numFmtId="3" fontId="23" fillId="0" borderId="2" xfId="0" applyNumberFormat="1" applyFont="1" applyBorder="1" applyAlignment="1">
      <alignment wrapText="1"/>
    </xf>
    <xf numFmtId="164" fontId="0" fillId="0" borderId="0" xfId="0" applyNumberFormat="1"/>
    <xf numFmtId="3" fontId="57" fillId="0" borderId="0" xfId="0" applyNumberFormat="1" applyFont="1" applyFill="1" applyAlignment="1"/>
    <xf numFmtId="3" fontId="57" fillId="0" borderId="0" xfId="0" applyNumberFormat="1" applyFont="1" applyFill="1"/>
    <xf numFmtId="3" fontId="59" fillId="0" borderId="0" xfId="0" applyNumberFormat="1" applyFont="1" applyFill="1" applyAlignment="1"/>
    <xf numFmtId="3" fontId="54" fillId="0" borderId="2" xfId="0" applyNumberFormat="1" applyFont="1" applyFill="1" applyBorder="1" applyAlignment="1">
      <alignment horizontal="left" vertical="center" wrapText="1"/>
    </xf>
    <xf numFmtId="3" fontId="22" fillId="0" borderId="7" xfId="0" applyNumberFormat="1" applyFont="1" applyFill="1" applyBorder="1" applyAlignment="1">
      <alignment horizontal="center" vertical="center" wrapText="1"/>
    </xf>
    <xf numFmtId="3" fontId="43" fillId="0" borderId="1" xfId="0" applyNumberFormat="1" applyFont="1" applyFill="1" applyBorder="1" applyAlignment="1">
      <alignment horizontal="center" vertical="center"/>
    </xf>
    <xf numFmtId="3" fontId="22" fillId="0" borderId="1" xfId="0" applyNumberFormat="1" applyFont="1" applyFill="1" applyBorder="1" applyAlignment="1">
      <alignment horizontal="center" vertical="center" wrapText="1"/>
    </xf>
    <xf numFmtId="3" fontId="44" fillId="0" borderId="1" xfId="0" applyNumberFormat="1" applyFont="1" applyFill="1" applyBorder="1" applyAlignment="1">
      <alignment horizontal="center" vertical="center"/>
    </xf>
    <xf numFmtId="3" fontId="23" fillId="0" borderId="1" xfId="0" applyNumberFormat="1" applyFont="1" applyFill="1" applyBorder="1" applyAlignment="1">
      <alignment horizontal="center" vertical="center" wrapText="1"/>
    </xf>
    <xf numFmtId="3" fontId="23" fillId="0" borderId="1" xfId="0" applyNumberFormat="1" applyFont="1" applyFill="1" applyBorder="1" applyAlignment="1">
      <alignment wrapText="1"/>
    </xf>
    <xf numFmtId="164" fontId="23" fillId="0" borderId="0" xfId="0" applyNumberFormat="1" applyFont="1" applyFill="1"/>
    <xf numFmtId="164" fontId="77" fillId="2" borderId="1" xfId="0" applyNumberFormat="1" applyFont="1" applyFill="1" applyBorder="1"/>
    <xf numFmtId="3" fontId="57" fillId="0" borderId="2" xfId="0" applyNumberFormat="1" applyFont="1" applyFill="1" applyBorder="1" applyAlignment="1">
      <alignment horizontal="center" vertical="center"/>
    </xf>
    <xf numFmtId="3" fontId="23" fillId="0" borderId="2" xfId="0" applyNumberFormat="1" applyFont="1" applyFill="1" applyBorder="1" applyAlignment="1">
      <alignment horizontal="center" vertical="center"/>
    </xf>
    <xf numFmtId="3" fontId="23" fillId="0" borderId="4" xfId="0" applyNumberFormat="1" applyFont="1" applyFill="1" applyBorder="1"/>
    <xf numFmtId="3" fontId="59" fillId="0" borderId="1" xfId="0" applyNumberFormat="1" applyFont="1" applyFill="1" applyBorder="1" applyAlignment="1">
      <alignment horizontal="center"/>
    </xf>
    <xf numFmtId="3" fontId="54" fillId="2" borderId="4" xfId="0" applyNumberFormat="1" applyFont="1" applyFill="1" applyBorder="1" applyAlignment="1">
      <alignment horizontal="left" vertical="center" wrapText="1"/>
    </xf>
    <xf numFmtId="3" fontId="93" fillId="0" borderId="0" xfId="0" applyNumberFormat="1" applyFont="1" applyFill="1"/>
    <xf numFmtId="3" fontId="93" fillId="2" borderId="0" xfId="0" applyNumberFormat="1" applyFont="1" applyFill="1"/>
    <xf numFmtId="3" fontId="62" fillId="0" borderId="1" xfId="0" applyNumberFormat="1" applyFont="1" applyFill="1" applyBorder="1" applyAlignment="1">
      <alignment horizontal="center"/>
    </xf>
    <xf numFmtId="3" fontId="62" fillId="0" borderId="0" xfId="0" applyNumberFormat="1" applyFont="1" applyFill="1"/>
    <xf numFmtId="3" fontId="25" fillId="0" borderId="0" xfId="0" applyNumberFormat="1" applyFont="1" applyBorder="1" applyAlignment="1"/>
    <xf numFmtId="3" fontId="64" fillId="0" borderId="0" xfId="0" applyNumberFormat="1" applyFont="1" applyBorder="1"/>
    <xf numFmtId="3" fontId="65" fillId="0" borderId="0" xfId="0" applyNumberFormat="1" applyFont="1" applyBorder="1"/>
    <xf numFmtId="9" fontId="65" fillId="0" borderId="0" xfId="0" applyNumberFormat="1" applyFont="1" applyBorder="1"/>
    <xf numFmtId="3" fontId="26" fillId="0" borderId="0" xfId="0" applyNumberFormat="1" applyFont="1" applyBorder="1" applyAlignment="1"/>
    <xf numFmtId="3" fontId="33" fillId="0" borderId="1" xfId="0" applyNumberFormat="1" applyFont="1" applyFill="1" applyBorder="1" applyAlignment="1">
      <alignment horizontal="left" vertical="center" wrapText="1"/>
    </xf>
    <xf numFmtId="3" fontId="33" fillId="0" borderId="1" xfId="0" applyNumberFormat="1" applyFont="1" applyFill="1" applyBorder="1" applyAlignment="1">
      <alignment vertical="center" wrapText="1"/>
    </xf>
    <xf numFmtId="3" fontId="97" fillId="0" borderId="1" xfId="0" applyNumberFormat="1" applyFont="1" applyFill="1" applyBorder="1"/>
    <xf numFmtId="3" fontId="98" fillId="0" borderId="1" xfId="0" applyNumberFormat="1" applyFont="1" applyFill="1" applyBorder="1" applyAlignment="1">
      <alignment horizontal="center"/>
    </xf>
    <xf numFmtId="3" fontId="74" fillId="0" borderId="0" xfId="0" applyNumberFormat="1" applyFont="1" applyFill="1"/>
    <xf numFmtId="3" fontId="36" fillId="0" borderId="0" xfId="0" applyNumberFormat="1" applyFont="1" applyFill="1" applyAlignment="1"/>
    <xf numFmtId="3" fontId="74" fillId="0" borderId="1" xfId="0" applyNumberFormat="1" applyFont="1" applyFill="1" applyBorder="1" applyAlignment="1">
      <alignment horizontal="center"/>
    </xf>
    <xf numFmtId="3" fontId="65" fillId="0" borderId="1" xfId="0" applyNumberFormat="1" applyFont="1" applyFill="1" applyBorder="1" applyAlignment="1">
      <alignment horizontal="center"/>
    </xf>
    <xf numFmtId="3" fontId="87" fillId="0" borderId="1" xfId="0" applyNumberFormat="1" applyFont="1" applyFill="1" applyBorder="1" applyAlignment="1">
      <alignment horizontal="center"/>
    </xf>
    <xf numFmtId="3" fontId="86" fillId="0" borderId="1" xfId="0" applyNumberFormat="1" applyFont="1" applyFill="1" applyBorder="1" applyAlignment="1">
      <alignment wrapText="1"/>
    </xf>
    <xf numFmtId="3" fontId="99" fillId="0" borderId="1" xfId="0" applyNumberFormat="1" applyFont="1" applyFill="1" applyBorder="1" applyAlignment="1">
      <alignment horizontal="center"/>
    </xf>
    <xf numFmtId="3" fontId="41" fillId="0" borderId="1" xfId="0" applyNumberFormat="1" applyFont="1" applyFill="1" applyBorder="1" applyAlignment="1">
      <alignment wrapText="1"/>
    </xf>
    <xf numFmtId="3" fontId="97" fillId="0" borderId="1" xfId="0" applyNumberFormat="1" applyFont="1" applyFill="1" applyBorder="1" applyAlignment="1">
      <alignment wrapText="1"/>
    </xf>
    <xf numFmtId="3" fontId="78" fillId="0" borderId="1" xfId="0" applyNumberFormat="1" applyFont="1" applyFill="1" applyBorder="1"/>
    <xf numFmtId="3" fontId="98" fillId="0" borderId="4" xfId="0" applyNumberFormat="1" applyFont="1" applyFill="1" applyBorder="1" applyAlignment="1">
      <alignment horizontal="center"/>
    </xf>
    <xf numFmtId="3" fontId="41" fillId="0" borderId="4" xfId="0" applyNumberFormat="1" applyFont="1" applyFill="1" applyBorder="1"/>
    <xf numFmtId="3" fontId="97" fillId="0" borderId="4" xfId="0" applyNumberFormat="1" applyFont="1" applyFill="1" applyBorder="1"/>
    <xf numFmtId="3" fontId="41" fillId="0" borderId="4" xfId="0" applyNumberFormat="1" applyFont="1" applyFill="1" applyBorder="1" applyAlignment="1">
      <alignment horizontal="right" vertical="center" wrapText="1"/>
    </xf>
    <xf numFmtId="3" fontId="98" fillId="0" borderId="2" xfId="0" applyNumberFormat="1" applyFont="1" applyFill="1" applyBorder="1" applyAlignment="1">
      <alignment horizontal="center"/>
    </xf>
    <xf numFmtId="3" fontId="89" fillId="0" borderId="2" xfId="0" applyNumberFormat="1" applyFont="1" applyFill="1" applyBorder="1" applyAlignment="1">
      <alignment horizontal="center"/>
    </xf>
    <xf numFmtId="3" fontId="26" fillId="0" borderId="0" xfId="0" applyNumberFormat="1" applyFont="1" applyFill="1" applyAlignment="1"/>
    <xf numFmtId="3" fontId="15" fillId="0" borderId="0" xfId="0" applyNumberFormat="1" applyFont="1" applyFill="1" applyAlignment="1"/>
    <xf numFmtId="3" fontId="94" fillId="0" borderId="1" xfId="0" applyNumberFormat="1" applyFont="1" applyFill="1" applyBorder="1"/>
    <xf numFmtId="3" fontId="57" fillId="0" borderId="0" xfId="0" applyNumberFormat="1" applyFont="1" applyFill="1" applyBorder="1" applyAlignment="1">
      <alignment horizontal="center" vertical="center"/>
    </xf>
    <xf numFmtId="3" fontId="58" fillId="2" borderId="0" xfId="0" applyNumberFormat="1" applyFont="1" applyFill="1" applyBorder="1"/>
    <xf numFmtId="3" fontId="54" fillId="2" borderId="0" xfId="0" applyNumberFormat="1" applyFont="1" applyFill="1" applyBorder="1" applyAlignment="1">
      <alignment horizontal="center" vertical="center" wrapText="1"/>
    </xf>
    <xf numFmtId="3" fontId="54" fillId="2" borderId="0" xfId="0" applyNumberFormat="1" applyFont="1" applyFill="1" applyBorder="1" applyAlignment="1">
      <alignment horizontal="right" vertical="center"/>
    </xf>
    <xf numFmtId="3" fontId="58" fillId="2" borderId="0" xfId="0" applyNumberFormat="1" applyFont="1" applyFill="1" applyBorder="1" applyAlignment="1">
      <alignment horizontal="right" vertical="center"/>
    </xf>
    <xf numFmtId="164" fontId="47" fillId="0" borderId="2" xfId="0" applyNumberFormat="1" applyFont="1" applyFill="1" applyBorder="1" applyAlignment="1">
      <alignment horizontal="right"/>
    </xf>
    <xf numFmtId="3" fontId="26" fillId="0" borderId="0" xfId="0" applyNumberFormat="1" applyFont="1" applyAlignment="1">
      <alignment horizontal="center"/>
    </xf>
    <xf numFmtId="3" fontId="4" fillId="0" borderId="8" xfId="0" applyNumberFormat="1" applyFont="1" applyBorder="1"/>
    <xf numFmtId="3" fontId="44" fillId="0" borderId="2" xfId="0" applyNumberFormat="1" applyFont="1" applyBorder="1"/>
    <xf numFmtId="0" fontId="23" fillId="0" borderId="2" xfId="0" applyFont="1" applyBorder="1" applyAlignment="1">
      <alignment horizontal="center"/>
    </xf>
    <xf numFmtId="3" fontId="43" fillId="2" borderId="7" xfId="0" applyNumberFormat="1" applyFont="1" applyFill="1" applyBorder="1" applyAlignment="1">
      <alignment horizontal="left" vertical="center" wrapText="1"/>
    </xf>
    <xf numFmtId="3" fontId="26" fillId="0" borderId="0" xfId="0" applyNumberFormat="1" applyFont="1" applyAlignment="1">
      <alignment horizontal="center"/>
    </xf>
    <xf numFmtId="3" fontId="34" fillId="0" borderId="0" xfId="0" applyNumberFormat="1" applyFont="1" applyFill="1"/>
    <xf numFmtId="3" fontId="16" fillId="0" borderId="0" xfId="0" applyNumberFormat="1" applyFont="1" applyAlignment="1">
      <alignment horizontal="left"/>
    </xf>
    <xf numFmtId="3" fontId="7" fillId="0" borderId="0" xfId="0" applyNumberFormat="1" applyFont="1" applyAlignment="1">
      <alignment horizontal="left"/>
    </xf>
    <xf numFmtId="3" fontId="12" fillId="0" borderId="0" xfId="0" applyNumberFormat="1" applyFont="1" applyAlignment="1">
      <alignment horizontal="center"/>
    </xf>
    <xf numFmtId="3" fontId="4" fillId="0" borderId="2" xfId="0" applyNumberFormat="1" applyFont="1" applyBorder="1" applyAlignment="1">
      <alignment horizontal="center" vertical="center" wrapText="1"/>
    </xf>
    <xf numFmtId="3" fontId="7" fillId="0" borderId="0" xfId="0" applyNumberFormat="1" applyFont="1" applyAlignment="1">
      <alignment horizontal="left"/>
    </xf>
    <xf numFmtId="3" fontId="4" fillId="0" borderId="0" xfId="0" applyNumberFormat="1" applyFont="1" applyAlignment="1">
      <alignment horizontal="center"/>
    </xf>
    <xf numFmtId="3" fontId="2" fillId="0" borderId="0" xfId="0" applyNumberFormat="1" applyFont="1" applyAlignment="1">
      <alignment horizontal="center"/>
    </xf>
    <xf numFmtId="3" fontId="6" fillId="0" borderId="0" xfId="0" applyNumberFormat="1" applyFont="1" applyAlignment="1">
      <alignment horizontal="center"/>
    </xf>
    <xf numFmtId="3" fontId="26" fillId="0" borderId="0" xfId="0" applyNumberFormat="1" applyFont="1" applyFill="1" applyAlignment="1">
      <alignment horizontal="left"/>
    </xf>
    <xf numFmtId="3" fontId="26" fillId="0" borderId="0" xfId="0" applyNumberFormat="1" applyFont="1" applyFill="1" applyAlignment="1">
      <alignment horizontal="center"/>
    </xf>
    <xf numFmtId="3" fontId="26" fillId="0" borderId="2" xfId="0" applyNumberFormat="1" applyFont="1" applyFill="1" applyBorder="1" applyAlignment="1">
      <alignment horizontal="center" vertical="center" wrapText="1"/>
    </xf>
    <xf numFmtId="3" fontId="7" fillId="0" borderId="0" xfId="0" applyNumberFormat="1" applyFont="1" applyFill="1" applyAlignment="1">
      <alignment horizontal="center"/>
    </xf>
    <xf numFmtId="3" fontId="33" fillId="0" borderId="2" xfId="0" applyNumberFormat="1" applyFont="1" applyFill="1" applyBorder="1" applyAlignment="1">
      <alignment horizontal="center" vertical="center" wrapText="1"/>
    </xf>
    <xf numFmtId="3" fontId="23" fillId="0" borderId="0" xfId="0" applyNumberFormat="1" applyFont="1" applyFill="1" applyAlignment="1">
      <alignment horizontal="left"/>
    </xf>
    <xf numFmtId="3" fontId="13" fillId="0" borderId="0" xfId="0" applyNumberFormat="1" applyFont="1"/>
    <xf numFmtId="3" fontId="10" fillId="0" borderId="2" xfId="0" applyNumberFormat="1" applyFont="1" applyFill="1" applyBorder="1" applyAlignment="1">
      <alignment horizontal="center" vertical="center" wrapText="1"/>
    </xf>
    <xf numFmtId="3" fontId="11" fillId="0" borderId="2" xfId="0" applyNumberFormat="1" applyFont="1" applyFill="1" applyBorder="1"/>
    <xf numFmtId="3" fontId="33" fillId="0" borderId="2" xfId="0" applyNumberFormat="1" applyFont="1" applyFill="1" applyBorder="1" applyAlignment="1">
      <alignment horizontal="right" vertical="center" wrapText="1"/>
    </xf>
    <xf numFmtId="3" fontId="42" fillId="0" borderId="1" xfId="0" applyNumberFormat="1" applyFont="1" applyFill="1" applyBorder="1" applyAlignment="1">
      <alignment wrapText="1"/>
    </xf>
    <xf numFmtId="3" fontId="65" fillId="0" borderId="4" xfId="0" applyNumberFormat="1" applyFont="1" applyFill="1" applyBorder="1" applyAlignment="1">
      <alignment horizontal="center"/>
    </xf>
    <xf numFmtId="3" fontId="42" fillId="0" borderId="4" xfId="0" applyNumberFormat="1" applyFont="1" applyFill="1" applyBorder="1"/>
    <xf numFmtId="3" fontId="71" fillId="0" borderId="4" xfId="0" applyNumberFormat="1" applyFont="1" applyFill="1" applyBorder="1"/>
    <xf numFmtId="3" fontId="33" fillId="0" borderId="5" xfId="0" applyNumberFormat="1" applyFont="1" applyFill="1" applyBorder="1" applyAlignment="1">
      <alignment horizontal="right" vertical="center" wrapText="1"/>
    </xf>
    <xf numFmtId="3" fontId="33" fillId="0" borderId="11" xfId="0" applyNumberFormat="1" applyFont="1" applyFill="1" applyBorder="1" applyAlignment="1">
      <alignment horizontal="right" vertical="center" wrapText="1"/>
    </xf>
    <xf numFmtId="3" fontId="33" fillId="0" borderId="1" xfId="0" applyNumberFormat="1" applyFont="1" applyFill="1" applyBorder="1" applyAlignment="1">
      <alignment horizontal="right" vertical="center" wrapText="1"/>
    </xf>
    <xf numFmtId="3" fontId="102" fillId="0" borderId="0" xfId="0" applyNumberFormat="1" applyFont="1" applyFill="1"/>
    <xf numFmtId="3" fontId="97" fillId="0" borderId="10" xfId="0" applyNumberFormat="1" applyFont="1" applyFill="1" applyBorder="1"/>
    <xf numFmtId="3" fontId="41" fillId="0" borderId="10" xfId="0" applyNumberFormat="1" applyFont="1" applyFill="1" applyBorder="1"/>
    <xf numFmtId="3" fontId="42" fillId="0" borderId="2" xfId="0" applyNumberFormat="1" applyFont="1" applyFill="1" applyBorder="1" applyAlignment="1">
      <alignment horizontal="right" vertical="center" wrapText="1"/>
    </xf>
    <xf numFmtId="3" fontId="71" fillId="0" borderId="4" xfId="0" applyNumberFormat="1" applyFont="1" applyFill="1" applyBorder="1" applyAlignment="1">
      <alignment horizontal="right" vertical="center" wrapText="1"/>
    </xf>
    <xf numFmtId="3" fontId="42" fillId="0" borderId="5" xfId="0" applyNumberFormat="1" applyFont="1" applyFill="1" applyBorder="1" applyAlignment="1">
      <alignment horizontal="right" vertical="center" wrapText="1"/>
    </xf>
    <xf numFmtId="3" fontId="42" fillId="0" borderId="11" xfId="0" applyNumberFormat="1" applyFont="1" applyFill="1" applyBorder="1" applyAlignment="1">
      <alignment horizontal="right" vertical="center" wrapText="1"/>
    </xf>
    <xf numFmtId="3" fontId="42" fillId="0" borderId="10" xfId="0" applyNumberFormat="1" applyFont="1" applyFill="1" applyBorder="1" applyAlignment="1">
      <alignment horizontal="right" vertical="center" wrapText="1"/>
    </xf>
    <xf numFmtId="3" fontId="74" fillId="0" borderId="4" xfId="0" applyNumberFormat="1" applyFont="1" applyFill="1" applyBorder="1" applyAlignment="1">
      <alignment horizontal="center"/>
    </xf>
    <xf numFmtId="3" fontId="86" fillId="0" borderId="4" xfId="0" applyNumberFormat="1" applyFont="1" applyFill="1" applyBorder="1"/>
    <xf numFmtId="3" fontId="24" fillId="0" borderId="0" xfId="0" applyNumberFormat="1" applyFont="1" applyAlignment="1">
      <alignment horizontal="center"/>
    </xf>
    <xf numFmtId="3" fontId="22" fillId="0" borderId="0" xfId="0" applyNumberFormat="1" applyFont="1" applyAlignment="1">
      <alignment horizontal="center"/>
    </xf>
    <xf numFmtId="164" fontId="26" fillId="0" borderId="2" xfId="2" applyNumberFormat="1" applyFont="1" applyBorder="1"/>
    <xf numFmtId="3" fontId="15" fillId="0" borderId="2" xfId="0" applyNumberFormat="1" applyFont="1" applyBorder="1"/>
    <xf numFmtId="3" fontId="6" fillId="0" borderId="0" xfId="0" applyNumberFormat="1" applyFont="1" applyAlignment="1">
      <alignment horizontal="left"/>
    </xf>
    <xf numFmtId="3" fontId="26" fillId="0" borderId="2" xfId="0" applyNumberFormat="1" applyFont="1" applyBorder="1" applyAlignment="1">
      <alignment horizontal="center" vertical="center"/>
    </xf>
    <xf numFmtId="3" fontId="48" fillId="0" borderId="2" xfId="0" applyNumberFormat="1" applyFont="1" applyFill="1" applyBorder="1" applyAlignment="1">
      <alignment horizontal="right"/>
    </xf>
    <xf numFmtId="3" fontId="74" fillId="0" borderId="4" xfId="0" applyNumberFormat="1" applyFont="1" applyBorder="1"/>
    <xf numFmtId="9" fontId="87" fillId="0" borderId="4" xfId="0" applyNumberFormat="1" applyFont="1" applyBorder="1"/>
    <xf numFmtId="9" fontId="74" fillId="0" borderId="4" xfId="0" applyNumberFormat="1" applyFont="1" applyBorder="1"/>
    <xf numFmtId="3" fontId="112" fillId="0" borderId="1" xfId="0" applyNumberFormat="1" applyFont="1" applyBorder="1" applyAlignment="1">
      <alignment wrapText="1"/>
    </xf>
    <xf numFmtId="3" fontId="25" fillId="0" borderId="0" xfId="0" applyNumberFormat="1" applyFont="1" applyAlignment="1">
      <alignment wrapText="1"/>
    </xf>
    <xf numFmtId="3" fontId="27" fillId="0" borderId="0" xfId="0" applyNumberFormat="1" applyFont="1" applyFill="1" applyBorder="1" applyAlignment="1">
      <alignment horizontal="center"/>
    </xf>
    <xf numFmtId="3" fontId="22" fillId="0" borderId="0" xfId="0" applyNumberFormat="1" applyFont="1" applyFill="1" applyAlignment="1">
      <alignment horizontal="center"/>
    </xf>
    <xf numFmtId="3" fontId="33" fillId="0" borderId="2" xfId="0" applyNumberFormat="1" applyFont="1" applyFill="1" applyBorder="1" applyAlignment="1">
      <alignment horizontal="center" vertical="center" wrapText="1"/>
    </xf>
    <xf numFmtId="3" fontId="26" fillId="0" borderId="0" xfId="0" applyNumberFormat="1" applyFont="1" applyFill="1" applyBorder="1" applyAlignment="1">
      <alignment horizontal="center"/>
    </xf>
    <xf numFmtId="3" fontId="22" fillId="0" borderId="2" xfId="0" applyNumberFormat="1" applyFont="1" applyFill="1" applyBorder="1" applyAlignment="1">
      <alignment horizontal="center" vertical="center" wrapText="1"/>
    </xf>
    <xf numFmtId="3" fontId="23" fillId="0" borderId="1" xfId="0" applyNumberFormat="1" applyFont="1" applyFill="1" applyBorder="1" applyAlignment="1">
      <alignment horizontal="left" vertical="center" wrapText="1"/>
    </xf>
    <xf numFmtId="3" fontId="57" fillId="0" borderId="10" xfId="0" applyNumberFormat="1" applyFont="1" applyFill="1" applyBorder="1" applyAlignment="1">
      <alignment horizontal="center" vertical="center" wrapText="1"/>
    </xf>
    <xf numFmtId="3" fontId="57" fillId="0" borderId="11" xfId="0" applyNumberFormat="1" applyFont="1" applyFill="1" applyBorder="1" applyAlignment="1">
      <alignment horizontal="center" vertical="center" wrapText="1"/>
    </xf>
    <xf numFmtId="3" fontId="57" fillId="0" borderId="0" xfId="0" applyNumberFormat="1" applyFont="1" applyFill="1" applyAlignment="1">
      <alignment horizontal="center"/>
    </xf>
    <xf numFmtId="3" fontId="57" fillId="0" borderId="0" xfId="0" applyNumberFormat="1" applyFont="1" applyFill="1" applyAlignment="1">
      <alignment horizontal="left"/>
    </xf>
    <xf numFmtId="3" fontId="57" fillId="0" borderId="17" xfId="0" applyNumberFormat="1" applyFont="1" applyFill="1" applyBorder="1" applyAlignment="1">
      <alignment horizontal="center" vertical="center" wrapText="1"/>
    </xf>
    <xf numFmtId="3" fontId="113" fillId="0" borderId="2" xfId="0" applyNumberFormat="1" applyFont="1" applyFill="1" applyBorder="1" applyAlignment="1">
      <alignment horizontal="right" vertical="center" wrapText="1"/>
    </xf>
    <xf numFmtId="3" fontId="104" fillId="0" borderId="7" xfId="0" applyNumberFormat="1" applyFont="1" applyFill="1" applyBorder="1" applyAlignment="1">
      <alignment horizontal="center" vertical="center"/>
    </xf>
    <xf numFmtId="3" fontId="101" fillId="0" borderId="1" xfId="0" applyNumberFormat="1" applyFont="1" applyFill="1" applyBorder="1"/>
    <xf numFmtId="3" fontId="105" fillId="0" borderId="7" xfId="0" applyNumberFormat="1" applyFont="1" applyFill="1" applyBorder="1" applyAlignment="1">
      <alignment horizontal="left" vertical="center" wrapText="1"/>
    </xf>
    <xf numFmtId="3" fontId="114" fillId="0" borderId="7" xfId="0" applyNumberFormat="1" applyFont="1" applyFill="1" applyBorder="1" applyAlignment="1">
      <alignment horizontal="right" vertical="center" wrapText="1"/>
    </xf>
    <xf numFmtId="3" fontId="113" fillId="0" borderId="7" xfId="0" applyNumberFormat="1" applyFont="1" applyFill="1" applyBorder="1" applyAlignment="1">
      <alignment horizontal="right" vertical="center"/>
    </xf>
    <xf numFmtId="3" fontId="115" fillId="0" borderId="7" xfId="0" applyNumberFormat="1" applyFont="1" applyFill="1" applyBorder="1" applyAlignment="1">
      <alignment horizontal="right" vertical="center"/>
    </xf>
    <xf numFmtId="3" fontId="113" fillId="0" borderId="21" xfId="0" applyNumberFormat="1" applyFont="1" applyFill="1" applyBorder="1" applyAlignment="1">
      <alignment horizontal="right" vertical="center" wrapText="1"/>
    </xf>
    <xf numFmtId="3" fontId="114" fillId="0" borderId="1" xfId="0" applyNumberFormat="1" applyFont="1" applyFill="1" applyBorder="1" applyAlignment="1">
      <alignment horizontal="right" vertical="center" wrapText="1"/>
    </xf>
    <xf numFmtId="3" fontId="116" fillId="0" borderId="1" xfId="0" applyNumberFormat="1" applyFont="1" applyFill="1" applyBorder="1" applyAlignment="1">
      <alignment horizontal="right" vertical="center" wrapText="1"/>
    </xf>
    <xf numFmtId="3" fontId="117" fillId="0" borderId="1" xfId="0" applyNumberFormat="1" applyFont="1" applyFill="1" applyBorder="1" applyAlignment="1">
      <alignment horizontal="right" vertical="center"/>
    </xf>
    <xf numFmtId="3" fontId="115" fillId="0" borderId="1" xfId="0" applyNumberFormat="1" applyFont="1" applyFill="1" applyBorder="1" applyAlignment="1">
      <alignment horizontal="right" vertical="center" wrapText="1"/>
    </xf>
    <xf numFmtId="3" fontId="116" fillId="0" borderId="4" xfId="0" applyNumberFormat="1" applyFont="1" applyFill="1" applyBorder="1" applyAlignment="1">
      <alignment horizontal="right" vertical="center" wrapText="1"/>
    </xf>
    <xf numFmtId="3" fontId="113" fillId="0" borderId="1" xfId="0" applyNumberFormat="1" applyFont="1" applyFill="1" applyBorder="1" applyAlignment="1">
      <alignment horizontal="right" vertical="center"/>
    </xf>
    <xf numFmtId="3" fontId="115" fillId="0" borderId="1" xfId="0" applyNumberFormat="1" applyFont="1" applyFill="1" applyBorder="1" applyAlignment="1">
      <alignment horizontal="right" vertical="center"/>
    </xf>
    <xf numFmtId="3" fontId="113" fillId="0" borderId="1" xfId="0" applyNumberFormat="1" applyFont="1" applyFill="1" applyBorder="1" applyAlignment="1">
      <alignment horizontal="right" vertical="center" wrapText="1"/>
    </xf>
    <xf numFmtId="4" fontId="118" fillId="0" borderId="1" xfId="0" applyNumberFormat="1" applyFont="1" applyFill="1" applyBorder="1" applyAlignment="1">
      <alignment horizontal="right" vertical="center" wrapText="1"/>
    </xf>
    <xf numFmtId="3" fontId="119" fillId="0" borderId="1" xfId="0" applyNumberFormat="1" applyFont="1" applyFill="1" applyBorder="1" applyAlignment="1">
      <alignment horizontal="right" vertical="center" wrapText="1"/>
    </xf>
    <xf numFmtId="166" fontId="118" fillId="0" borderId="1" xfId="0" applyNumberFormat="1" applyFont="1" applyFill="1" applyBorder="1" applyAlignment="1">
      <alignment horizontal="right" vertical="center" wrapText="1"/>
    </xf>
    <xf numFmtId="3" fontId="117" fillId="0" borderId="1" xfId="0" applyNumberFormat="1" applyFont="1" applyFill="1" applyBorder="1" applyAlignment="1">
      <alignment horizontal="right" vertical="center" wrapText="1"/>
    </xf>
    <xf numFmtId="3" fontId="114" fillId="2" borderId="1" xfId="0" applyNumberFormat="1" applyFont="1" applyFill="1" applyBorder="1" applyAlignment="1">
      <alignment horizontal="right" vertical="center"/>
    </xf>
    <xf numFmtId="3" fontId="113" fillId="2" borderId="1" xfId="0" applyNumberFormat="1" applyFont="1" applyFill="1" applyBorder="1" applyAlignment="1">
      <alignment horizontal="right" vertical="center"/>
    </xf>
    <xf numFmtId="3" fontId="118" fillId="0" borderId="1" xfId="0" applyNumberFormat="1" applyFont="1" applyFill="1" applyBorder="1" applyAlignment="1">
      <alignment horizontal="right" vertical="center" wrapText="1"/>
    </xf>
    <xf numFmtId="3" fontId="120" fillId="0" borderId="0" xfId="0" applyNumberFormat="1" applyFont="1" applyFill="1" applyAlignment="1">
      <alignment horizontal="right" vertical="center" wrapText="1"/>
    </xf>
    <xf numFmtId="164" fontId="114" fillId="0" borderId="1" xfId="0" applyNumberFormat="1" applyFont="1" applyFill="1" applyBorder="1" applyAlignment="1">
      <alignment horizontal="right" vertical="center" wrapText="1"/>
    </xf>
    <xf numFmtId="3" fontId="55" fillId="2" borderId="4" xfId="0" applyNumberFormat="1" applyFont="1" applyFill="1" applyBorder="1" applyAlignment="1">
      <alignment horizontal="left" vertical="center" wrapText="1"/>
    </xf>
    <xf numFmtId="3" fontId="55" fillId="2" borderId="7" xfId="0" applyNumberFormat="1" applyFont="1" applyFill="1" applyBorder="1" applyAlignment="1">
      <alignment horizontal="left" vertical="center" wrapText="1"/>
    </xf>
    <xf numFmtId="3" fontId="104" fillId="2" borderId="1" xfId="0" applyNumberFormat="1" applyFont="1" applyFill="1" applyBorder="1" applyAlignment="1">
      <alignment horizontal="center" vertical="center"/>
    </xf>
    <xf numFmtId="3" fontId="121" fillId="2" borderId="1" xfId="0" applyNumberFormat="1" applyFont="1" applyFill="1" applyBorder="1"/>
    <xf numFmtId="3" fontId="105" fillId="2" borderId="1" xfId="0" applyNumberFormat="1" applyFont="1" applyFill="1" applyBorder="1" applyAlignment="1">
      <alignment horizontal="left" vertical="center" wrapText="1"/>
    </xf>
    <xf numFmtId="3" fontId="122" fillId="2" borderId="1" xfId="0" applyNumberFormat="1" applyFont="1" applyFill="1" applyBorder="1" applyAlignment="1">
      <alignment horizontal="right" vertical="center"/>
    </xf>
    <xf numFmtId="3" fontId="123" fillId="2" borderId="1" xfId="0" applyNumberFormat="1" applyFont="1" applyFill="1" applyBorder="1" applyAlignment="1">
      <alignment horizontal="right" vertical="center"/>
    </xf>
    <xf numFmtId="3" fontId="123" fillId="0" borderId="1" xfId="0" applyNumberFormat="1" applyFont="1" applyFill="1" applyBorder="1" applyAlignment="1">
      <alignment horizontal="right" vertical="center"/>
    </xf>
    <xf numFmtId="3" fontId="117" fillId="2" borderId="1" xfId="0" applyNumberFormat="1" applyFont="1" applyFill="1" applyBorder="1" applyAlignment="1">
      <alignment horizontal="right" vertical="center"/>
    </xf>
    <xf numFmtId="3" fontId="118" fillId="2" borderId="1" xfId="0" applyNumberFormat="1" applyFont="1" applyFill="1" applyBorder="1" applyAlignment="1">
      <alignment horizontal="right" vertical="center"/>
    </xf>
    <xf numFmtId="3" fontId="122" fillId="0" borderId="1" xfId="0" applyNumberFormat="1" applyFont="1" applyFill="1" applyBorder="1" applyAlignment="1">
      <alignment horizontal="right" vertical="center" wrapText="1"/>
    </xf>
    <xf numFmtId="166" fontId="118" fillId="0" borderId="1" xfId="0" applyNumberFormat="1" applyFont="1" applyFill="1" applyBorder="1" applyAlignment="1">
      <alignment horizontal="right" vertical="center"/>
    </xf>
    <xf numFmtId="3" fontId="119" fillId="0" borderId="1" xfId="0" applyNumberFormat="1" applyFont="1" applyFill="1" applyBorder="1" applyAlignment="1">
      <alignment horizontal="right" vertical="center"/>
    </xf>
    <xf numFmtId="4" fontId="118" fillId="0" borderId="1" xfId="0" applyNumberFormat="1" applyFont="1" applyFill="1" applyBorder="1" applyAlignment="1">
      <alignment horizontal="right" vertical="center"/>
    </xf>
    <xf numFmtId="3" fontId="118" fillId="0" borderId="1" xfId="0" applyNumberFormat="1" applyFont="1" applyFill="1" applyBorder="1" applyAlignment="1">
      <alignment horizontal="right" vertical="center"/>
    </xf>
    <xf numFmtId="3" fontId="116" fillId="0" borderId="1" xfId="0" applyNumberFormat="1" applyFont="1" applyFill="1" applyBorder="1" applyAlignment="1">
      <alignment horizontal="right" vertical="center"/>
    </xf>
    <xf numFmtId="3" fontId="114" fillId="0" borderId="1" xfId="0" applyNumberFormat="1" applyFont="1" applyFill="1" applyBorder="1" applyAlignment="1">
      <alignment horizontal="right" vertical="center"/>
    </xf>
    <xf numFmtId="3" fontId="119" fillId="2" borderId="1" xfId="0" applyNumberFormat="1" applyFont="1" applyFill="1" applyBorder="1" applyAlignment="1">
      <alignment horizontal="right" vertical="center"/>
    </xf>
    <xf numFmtId="3" fontId="124" fillId="0" borderId="1" xfId="0" applyNumberFormat="1" applyFont="1" applyFill="1" applyBorder="1" applyAlignment="1">
      <alignment horizontal="right" vertical="center"/>
    </xf>
    <xf numFmtId="3" fontId="101" fillId="2" borderId="1" xfId="0" applyNumberFormat="1" applyFont="1" applyFill="1" applyBorder="1"/>
    <xf numFmtId="4" fontId="114" fillId="2" borderId="1" xfId="0" applyNumberFormat="1" applyFont="1" applyFill="1" applyBorder="1" applyAlignment="1">
      <alignment horizontal="right" vertical="center"/>
    </xf>
    <xf numFmtId="4" fontId="114" fillId="0" borderId="1" xfId="0" applyNumberFormat="1" applyFont="1" applyFill="1" applyBorder="1" applyAlignment="1">
      <alignment horizontal="right" vertical="center"/>
    </xf>
    <xf numFmtId="3" fontId="103" fillId="2" borderId="1" xfId="0" applyNumberFormat="1" applyFont="1" applyFill="1" applyBorder="1"/>
    <xf numFmtId="3" fontId="125" fillId="0" borderId="1" xfId="0" applyNumberFormat="1" applyFont="1" applyFill="1" applyBorder="1" applyAlignment="1">
      <alignment horizontal="right" vertical="center"/>
    </xf>
    <xf numFmtId="3" fontId="101" fillId="0" borderId="0" xfId="0" applyNumberFormat="1" applyFont="1" applyFill="1"/>
    <xf numFmtId="166" fontId="114" fillId="2" borderId="1" xfId="0" applyNumberFormat="1" applyFont="1" applyFill="1" applyBorder="1" applyAlignment="1">
      <alignment horizontal="right" vertical="center"/>
    </xf>
    <xf numFmtId="3" fontId="101" fillId="2" borderId="1" xfId="0" applyNumberFormat="1" applyFont="1" applyFill="1" applyBorder="1" applyAlignment="1">
      <alignment horizontal="center" vertical="center"/>
    </xf>
    <xf numFmtId="4" fontId="121" fillId="2" borderId="1" xfId="0" applyNumberFormat="1" applyFont="1" applyFill="1" applyBorder="1"/>
    <xf numFmtId="164" fontId="121" fillId="2" borderId="1" xfId="0" applyNumberFormat="1" applyFont="1" applyFill="1" applyBorder="1"/>
    <xf numFmtId="164" fontId="118" fillId="0" borderId="1" xfId="0" applyNumberFormat="1" applyFont="1" applyFill="1" applyBorder="1" applyAlignment="1">
      <alignment horizontal="right" vertical="center"/>
    </xf>
    <xf numFmtId="3" fontId="126" fillId="0" borderId="1" xfId="0" applyNumberFormat="1" applyFont="1" applyFill="1" applyBorder="1"/>
    <xf numFmtId="3" fontId="119" fillId="2" borderId="1" xfId="0" applyNumberFormat="1" applyFont="1" applyFill="1" applyBorder="1" applyAlignment="1">
      <alignment vertical="center"/>
    </xf>
    <xf numFmtId="3" fontId="119" fillId="0" borderId="1" xfId="0" applyNumberFormat="1" applyFont="1" applyFill="1" applyBorder="1" applyAlignment="1">
      <alignment vertical="center"/>
    </xf>
    <xf numFmtId="3" fontId="118" fillId="0" borderId="1" xfId="0" applyNumberFormat="1" applyFont="1" applyFill="1" applyBorder="1" applyAlignment="1">
      <alignment vertical="center"/>
    </xf>
    <xf numFmtId="3" fontId="54" fillId="2" borderId="1" xfId="0" applyNumberFormat="1" applyFont="1" applyFill="1" applyBorder="1" applyAlignment="1">
      <alignment vertical="center" wrapText="1"/>
    </xf>
    <xf numFmtId="3" fontId="57" fillId="2" borderId="4" xfId="0" applyNumberFormat="1" applyFont="1" applyFill="1" applyBorder="1" applyAlignment="1">
      <alignment horizontal="center" vertical="center"/>
    </xf>
    <xf numFmtId="3" fontId="60" fillId="2" borderId="4" xfId="0" applyNumberFormat="1" applyFont="1" applyFill="1" applyBorder="1"/>
    <xf numFmtId="3" fontId="118" fillId="0" borderId="4" xfId="0" applyNumberFormat="1" applyFont="1" applyFill="1" applyBorder="1" applyAlignment="1">
      <alignment horizontal="right" vertical="center"/>
    </xf>
    <xf numFmtId="3" fontId="119" fillId="0" borderId="4" xfId="0" applyNumberFormat="1" applyFont="1" applyFill="1" applyBorder="1" applyAlignment="1">
      <alignment horizontal="right" vertical="center"/>
    </xf>
    <xf numFmtId="3" fontId="117" fillId="2" borderId="4" xfId="0" applyNumberFormat="1" applyFont="1" applyFill="1" applyBorder="1" applyAlignment="1">
      <alignment horizontal="right" vertical="center"/>
    </xf>
    <xf numFmtId="3" fontId="104" fillId="2" borderId="7" xfId="0" applyNumberFormat="1" applyFont="1" applyFill="1" applyBorder="1" applyAlignment="1">
      <alignment horizontal="center" vertical="center"/>
    </xf>
    <xf numFmtId="3" fontId="103" fillId="2" borderId="7" xfId="0" applyNumberFormat="1" applyFont="1" applyFill="1" applyBorder="1"/>
    <xf numFmtId="3" fontId="105" fillId="2" borderId="7" xfId="0" applyNumberFormat="1" applyFont="1" applyFill="1" applyBorder="1" applyAlignment="1">
      <alignment horizontal="left" vertical="center" wrapText="1"/>
    </xf>
    <xf numFmtId="3" fontId="125" fillId="0" borderId="7" xfId="0" applyNumberFormat="1" applyFont="1" applyFill="1" applyBorder="1" applyAlignment="1">
      <alignment horizontal="right" vertical="center"/>
    </xf>
    <xf numFmtId="3" fontId="123" fillId="2" borderId="7" xfId="0" applyNumberFormat="1" applyFont="1" applyFill="1" applyBorder="1" applyAlignment="1">
      <alignment horizontal="right" vertical="center"/>
    </xf>
    <xf numFmtId="3" fontId="119" fillId="0" borderId="7" xfId="0" applyNumberFormat="1" applyFont="1" applyFill="1" applyBorder="1" applyAlignment="1">
      <alignment horizontal="right" vertical="center"/>
    </xf>
    <xf numFmtId="0" fontId="29" fillId="0" borderId="1" xfId="0" applyFont="1" applyBorder="1"/>
    <xf numFmtId="3" fontId="128" fillId="0" borderId="1" xfId="0" applyNumberFormat="1" applyFont="1" applyBorder="1"/>
    <xf numFmtId="0" fontId="109" fillId="0" borderId="7" xfId="0" applyFont="1" applyBorder="1"/>
    <xf numFmtId="3" fontId="118" fillId="0" borderId="7" xfId="0" applyNumberFormat="1" applyFont="1" applyFill="1" applyBorder="1" applyAlignment="1">
      <alignment horizontal="right" vertical="center"/>
    </xf>
    <xf numFmtId="3" fontId="117" fillId="2" borderId="7" xfId="0" applyNumberFormat="1" applyFont="1" applyFill="1" applyBorder="1" applyAlignment="1">
      <alignment horizontal="right" vertical="center"/>
    </xf>
    <xf numFmtId="3" fontId="127" fillId="0" borderId="7" xfId="0" applyNumberFormat="1" applyFont="1" applyBorder="1"/>
    <xf numFmtId="3" fontId="122" fillId="0" borderId="7" xfId="0" applyNumberFormat="1" applyFont="1" applyFill="1" applyBorder="1" applyAlignment="1">
      <alignment horizontal="right" vertical="center"/>
    </xf>
    <xf numFmtId="3" fontId="123" fillId="0" borderId="7" xfId="0" applyNumberFormat="1" applyFont="1" applyFill="1" applyBorder="1" applyAlignment="1">
      <alignment horizontal="right" vertical="center"/>
    </xf>
    <xf numFmtId="3" fontId="116" fillId="0" borderId="7" xfId="0" applyNumberFormat="1" applyFont="1" applyFill="1" applyBorder="1" applyAlignment="1">
      <alignment horizontal="right" vertical="center"/>
    </xf>
    <xf numFmtId="3" fontId="122" fillId="0" borderId="1" xfId="0" applyNumberFormat="1" applyFont="1" applyFill="1" applyBorder="1" applyAlignment="1">
      <alignment horizontal="right" vertical="center"/>
    </xf>
    <xf numFmtId="3" fontId="129" fillId="0" borderId="1" xfId="0" applyNumberFormat="1" applyFont="1" applyFill="1" applyBorder="1" applyAlignment="1">
      <alignment horizontal="right" vertical="center"/>
    </xf>
    <xf numFmtId="3" fontId="117" fillId="2" borderId="22" xfId="0" applyNumberFormat="1" applyFont="1" applyFill="1" applyBorder="1" applyAlignment="1">
      <alignment horizontal="right" vertical="center"/>
    </xf>
    <xf numFmtId="3" fontId="130" fillId="2" borderId="1" xfId="0" applyNumberFormat="1" applyFont="1" applyFill="1" applyBorder="1" applyAlignment="1">
      <alignment horizontal="center" vertical="center"/>
    </xf>
    <xf numFmtId="3" fontId="131" fillId="2" borderId="1" xfId="0" applyNumberFormat="1" applyFont="1" applyFill="1" applyBorder="1"/>
    <xf numFmtId="3" fontId="104" fillId="2" borderId="1" xfId="0" applyNumberFormat="1" applyFont="1" applyFill="1" applyBorder="1" applyAlignment="1">
      <alignment horizontal="left" vertical="center" wrapText="1"/>
    </xf>
    <xf numFmtId="3" fontId="132" fillId="0" borderId="1" xfId="0" applyNumberFormat="1" applyFont="1" applyFill="1" applyBorder="1" applyAlignment="1">
      <alignment horizontal="right" vertical="center"/>
    </xf>
    <xf numFmtId="3" fontId="127" fillId="2" borderId="1" xfId="0" applyNumberFormat="1" applyFont="1" applyFill="1" applyBorder="1" applyAlignment="1">
      <alignment horizontal="right" vertical="center"/>
    </xf>
    <xf numFmtId="3" fontId="127" fillId="0" borderId="1" xfId="0" applyNumberFormat="1" applyFont="1" applyFill="1" applyBorder="1" applyAlignment="1">
      <alignment horizontal="right" vertical="center"/>
    </xf>
    <xf numFmtId="3" fontId="133" fillId="0" borderId="1" xfId="0" applyNumberFormat="1" applyFont="1" applyFill="1" applyBorder="1" applyAlignment="1">
      <alignment horizontal="right" vertical="center"/>
    </xf>
    <xf numFmtId="3" fontId="134" fillId="0" borderId="1" xfId="0" applyNumberFormat="1" applyFont="1" applyFill="1" applyBorder="1" applyAlignment="1">
      <alignment horizontal="right" vertical="center"/>
    </xf>
    <xf numFmtId="3" fontId="135" fillId="2" borderId="1" xfId="0" applyNumberFormat="1" applyFont="1" applyFill="1" applyBorder="1" applyAlignment="1">
      <alignment horizontal="center" vertical="center"/>
    </xf>
    <xf numFmtId="164" fontId="136" fillId="2" borderId="1" xfId="0" applyNumberFormat="1" applyFont="1" applyFill="1" applyBorder="1"/>
    <xf numFmtId="3" fontId="137" fillId="2" borderId="1" xfId="0" applyNumberFormat="1" applyFont="1" applyFill="1" applyBorder="1" applyAlignment="1">
      <alignment horizontal="left" vertical="center" wrapText="1"/>
    </xf>
    <xf numFmtId="3" fontId="138" fillId="2" borderId="1" xfId="0" applyNumberFormat="1" applyFont="1" applyFill="1" applyBorder="1" applyAlignment="1">
      <alignment horizontal="right" vertical="center"/>
    </xf>
    <xf numFmtId="3" fontId="139" fillId="2" borderId="1" xfId="0" applyNumberFormat="1" applyFont="1" applyFill="1" applyBorder="1" applyAlignment="1">
      <alignment horizontal="right" vertical="center"/>
    </xf>
    <xf numFmtId="3" fontId="140" fillId="0" borderId="1" xfId="0" applyNumberFormat="1" applyFont="1" applyFill="1" applyBorder="1" applyAlignment="1">
      <alignment horizontal="right" vertical="center"/>
    </xf>
    <xf numFmtId="3" fontId="120" fillId="0" borderId="0" xfId="0" applyNumberFormat="1" applyFont="1" applyFill="1" applyAlignment="1">
      <alignment horizontal="right" vertical="center"/>
    </xf>
    <xf numFmtId="3" fontId="120" fillId="0" borderId="1" xfId="0" applyNumberFormat="1" applyFont="1" applyFill="1" applyBorder="1"/>
    <xf numFmtId="3" fontId="117" fillId="0" borderId="4" xfId="0" applyNumberFormat="1" applyFont="1" applyFill="1" applyBorder="1" applyAlignment="1">
      <alignment horizontal="right" vertical="center" wrapText="1"/>
    </xf>
    <xf numFmtId="3" fontId="120" fillId="0" borderId="0" xfId="0" applyNumberFormat="1" applyFont="1" applyFill="1"/>
    <xf numFmtId="3" fontId="119" fillId="0" borderId="0" xfId="0" applyNumberFormat="1" applyFont="1" applyFill="1" applyBorder="1" applyAlignment="1">
      <alignment horizontal="right" vertical="center"/>
    </xf>
    <xf numFmtId="3" fontId="113" fillId="0" borderId="10" xfId="0" applyNumberFormat="1" applyFont="1" applyFill="1" applyBorder="1" applyAlignment="1">
      <alignment horizontal="right" vertical="center" wrapText="1"/>
    </xf>
    <xf numFmtId="3" fontId="119" fillId="0" borderId="10" xfId="0" applyNumberFormat="1" applyFont="1" applyFill="1" applyBorder="1" applyAlignment="1">
      <alignment horizontal="right" vertical="center"/>
    </xf>
    <xf numFmtId="164" fontId="103" fillId="2" borderId="1" xfId="0" applyNumberFormat="1" applyFont="1" applyFill="1" applyBorder="1"/>
    <xf numFmtId="3" fontId="105" fillId="2" borderId="1" xfId="1" applyNumberFormat="1" applyFont="1" applyFill="1" applyBorder="1" applyAlignment="1">
      <alignment horizontal="left" vertical="center" wrapText="1"/>
    </xf>
    <xf numFmtId="3" fontId="104" fillId="0" borderId="1" xfId="0" applyNumberFormat="1" applyFont="1" applyFill="1" applyBorder="1" applyAlignment="1">
      <alignment horizontal="center"/>
    </xf>
    <xf numFmtId="3" fontId="141" fillId="0" borderId="1" xfId="0" applyNumberFormat="1" applyFont="1" applyFill="1" applyBorder="1" applyAlignment="1">
      <alignment horizontal="right" vertical="center"/>
    </xf>
    <xf numFmtId="3" fontId="142" fillId="2" borderId="1" xfId="0" applyNumberFormat="1" applyFont="1" applyFill="1" applyBorder="1" applyAlignment="1">
      <alignment horizontal="right" vertical="center"/>
    </xf>
    <xf numFmtId="3" fontId="110" fillId="0" borderId="1" xfId="0" applyNumberFormat="1" applyFont="1" applyFill="1" applyBorder="1" applyAlignment="1">
      <alignment horizontal="center"/>
    </xf>
    <xf numFmtId="164" fontId="106" fillId="2" borderId="1" xfId="0" applyNumberFormat="1" applyFont="1" applyFill="1" applyBorder="1"/>
    <xf numFmtId="3" fontId="111" fillId="2" borderId="1" xfId="0" applyNumberFormat="1" applyFont="1" applyFill="1" applyBorder="1" applyAlignment="1">
      <alignment horizontal="left" vertical="center" wrapText="1"/>
    </xf>
    <xf numFmtId="3" fontId="143" fillId="0" borderId="1" xfId="0" applyNumberFormat="1" applyFont="1" applyFill="1" applyBorder="1" applyAlignment="1">
      <alignment horizontal="right" vertical="center"/>
    </xf>
    <xf numFmtId="3" fontId="110" fillId="2" borderId="1" xfId="0" applyNumberFormat="1" applyFont="1" applyFill="1" applyBorder="1" applyAlignment="1">
      <alignment horizontal="left" vertical="center" wrapText="1"/>
    </xf>
    <xf numFmtId="3" fontId="109" fillId="2" borderId="1" xfId="0" applyNumberFormat="1" applyFont="1" applyFill="1" applyBorder="1" applyAlignment="1">
      <alignment horizontal="center" vertical="center"/>
    </xf>
    <xf numFmtId="3" fontId="144" fillId="2" borderId="1" xfId="0" applyNumberFormat="1" applyFont="1" applyFill="1" applyBorder="1" applyAlignment="1">
      <alignment horizontal="right" vertical="center"/>
    </xf>
    <xf numFmtId="3" fontId="118" fillId="0" borderId="1" xfId="0" applyNumberFormat="1" applyFont="1" applyBorder="1" applyAlignment="1">
      <alignment horizontal="right" vertical="center"/>
    </xf>
    <xf numFmtId="0" fontId="59" fillId="0" borderId="1" xfId="0" applyFont="1" applyBorder="1" applyAlignment="1">
      <alignment wrapText="1"/>
    </xf>
    <xf numFmtId="3" fontId="117" fillId="0" borderId="10" xfId="0" applyNumberFormat="1" applyFont="1" applyFill="1" applyBorder="1" applyAlignment="1">
      <alignment horizontal="right" vertical="center" wrapText="1"/>
    </xf>
    <xf numFmtId="3" fontId="116" fillId="0" borderId="4" xfId="0" applyNumberFormat="1" applyFont="1" applyFill="1" applyBorder="1" applyAlignment="1">
      <alignment horizontal="right" vertical="center"/>
    </xf>
    <xf numFmtId="3" fontId="116" fillId="0" borderId="3" xfId="0" applyNumberFormat="1" applyFont="1" applyFill="1" applyBorder="1" applyAlignment="1">
      <alignment horizontal="right" vertical="center"/>
    </xf>
    <xf numFmtId="3" fontId="114" fillId="2" borderId="2" xfId="0" applyNumberFormat="1" applyFont="1" applyFill="1" applyBorder="1" applyAlignment="1">
      <alignment horizontal="right" vertical="center"/>
    </xf>
    <xf numFmtId="3" fontId="113" fillId="2" borderId="2" xfId="0" applyNumberFormat="1" applyFont="1" applyFill="1" applyBorder="1" applyAlignment="1">
      <alignment horizontal="right" vertical="center"/>
    </xf>
    <xf numFmtId="3" fontId="43" fillId="2" borderId="2" xfId="0" applyNumberFormat="1" applyFont="1" applyFill="1" applyBorder="1" applyAlignment="1">
      <alignment horizontal="left" vertical="center" wrapText="1"/>
    </xf>
    <xf numFmtId="3" fontId="26" fillId="0" borderId="0" xfId="0" applyNumberFormat="1" applyFont="1" applyFill="1" applyAlignment="1">
      <alignment horizontal="left"/>
    </xf>
    <xf numFmtId="3" fontId="26" fillId="0" borderId="2" xfId="0" applyNumberFormat="1" applyFont="1" applyFill="1" applyBorder="1" applyAlignment="1">
      <alignment horizontal="center" vertical="center" wrapText="1"/>
    </xf>
    <xf numFmtId="3" fontId="30" fillId="0" borderId="0" xfId="0" applyNumberFormat="1" applyFont="1" applyFill="1" applyAlignment="1">
      <alignment horizontal="center"/>
    </xf>
    <xf numFmtId="3" fontId="7" fillId="0" borderId="0" xfId="0" applyNumberFormat="1" applyFont="1" applyFill="1" applyAlignment="1">
      <alignment horizontal="center"/>
    </xf>
    <xf numFmtId="3" fontId="33" fillId="0" borderId="2" xfId="0" applyNumberFormat="1" applyFont="1" applyFill="1" applyBorder="1" applyAlignment="1">
      <alignment horizontal="center" vertical="center" wrapText="1"/>
    </xf>
    <xf numFmtId="3" fontId="22" fillId="0" borderId="2" xfId="0" applyNumberFormat="1" applyFont="1" applyBorder="1" applyAlignment="1">
      <alignment horizontal="center"/>
    </xf>
    <xf numFmtId="3" fontId="145" fillId="0" borderId="0" xfId="0" applyNumberFormat="1" applyFont="1" applyFill="1"/>
    <xf numFmtId="3" fontId="146" fillId="0" borderId="1" xfId="0" applyNumberFormat="1" applyFont="1" applyFill="1" applyBorder="1"/>
    <xf numFmtId="3" fontId="147" fillId="0" borderId="1" xfId="0" applyNumberFormat="1" applyFont="1" applyFill="1" applyBorder="1"/>
    <xf numFmtId="4" fontId="148" fillId="0" borderId="1" xfId="0" applyNumberFormat="1" applyFont="1" applyFill="1" applyBorder="1"/>
    <xf numFmtId="3" fontId="148" fillId="0" borderId="1" xfId="0" applyNumberFormat="1" applyFont="1" applyFill="1" applyBorder="1"/>
    <xf numFmtId="166" fontId="148" fillId="0" borderId="1" xfId="0" applyNumberFormat="1" applyFont="1" applyFill="1" applyBorder="1"/>
    <xf numFmtId="164" fontId="148" fillId="0" borderId="1" xfId="0" applyNumberFormat="1" applyFont="1" applyFill="1" applyBorder="1"/>
    <xf numFmtId="164" fontId="147" fillId="0" borderId="1" xfId="0" applyNumberFormat="1" applyFont="1" applyFill="1" applyBorder="1"/>
    <xf numFmtId="166" fontId="147" fillId="0" borderId="1" xfId="0" applyNumberFormat="1" applyFont="1" applyFill="1" applyBorder="1"/>
    <xf numFmtId="3" fontId="100" fillId="0" borderId="1" xfId="0" applyNumberFormat="1" applyFont="1" applyFill="1" applyBorder="1" applyAlignment="1">
      <alignment horizontal="left" vertical="center" wrapText="1"/>
    </xf>
    <xf numFmtId="3" fontId="100" fillId="2" borderId="1" xfId="0" applyNumberFormat="1" applyFont="1" applyFill="1" applyBorder="1" applyAlignment="1">
      <alignment horizontal="left" vertical="center" wrapText="1"/>
    </xf>
    <xf numFmtId="3" fontId="147" fillId="2" borderId="1" xfId="0" applyNumberFormat="1" applyFont="1" applyFill="1" applyBorder="1"/>
    <xf numFmtId="164" fontId="147" fillId="2" borderId="1" xfId="0" applyNumberFormat="1" applyFont="1" applyFill="1" applyBorder="1"/>
    <xf numFmtId="9" fontId="147" fillId="0" borderId="1" xfId="0" applyNumberFormat="1" applyFont="1" applyFill="1" applyBorder="1"/>
    <xf numFmtId="3" fontId="149" fillId="0" borderId="1" xfId="0" applyNumberFormat="1" applyFont="1" applyFill="1" applyBorder="1"/>
    <xf numFmtId="4" fontId="149" fillId="0" borderId="1" xfId="0" applyNumberFormat="1" applyFont="1" applyFill="1" applyBorder="1"/>
    <xf numFmtId="164" fontId="149" fillId="0" borderId="1" xfId="0" applyNumberFormat="1" applyFont="1" applyFill="1" applyBorder="1"/>
    <xf numFmtId="166" fontId="149" fillId="0" borderId="1" xfId="0" applyNumberFormat="1" applyFont="1" applyFill="1" applyBorder="1"/>
    <xf numFmtId="3" fontId="150" fillId="0" borderId="1" xfId="0" applyNumberFormat="1" applyFont="1" applyFill="1" applyBorder="1"/>
    <xf numFmtId="3" fontId="148" fillId="0" borderId="1" xfId="1" applyNumberFormat="1" applyFont="1" applyFill="1" applyBorder="1"/>
    <xf numFmtId="3" fontId="151" fillId="0" borderId="1" xfId="0" applyNumberFormat="1" applyFont="1" applyFill="1" applyBorder="1"/>
    <xf numFmtId="4" fontId="147" fillId="2" borderId="1" xfId="0" applyNumberFormat="1" applyFont="1" applyFill="1" applyBorder="1"/>
    <xf numFmtId="3" fontId="149" fillId="2" borderId="1" xfId="0" applyNumberFormat="1" applyFont="1" applyFill="1" applyBorder="1"/>
    <xf numFmtId="164" fontId="149" fillId="2" borderId="1" xfId="0" applyNumberFormat="1" applyFont="1" applyFill="1" applyBorder="1"/>
    <xf numFmtId="4" fontId="147" fillId="0" borderId="1" xfId="0" applyNumberFormat="1" applyFont="1" applyFill="1" applyBorder="1"/>
    <xf numFmtId="4" fontId="146" fillId="0" borderId="1" xfId="0" applyNumberFormat="1" applyFont="1" applyFill="1" applyBorder="1"/>
    <xf numFmtId="3" fontId="147" fillId="0" borderId="1" xfId="1" applyNumberFormat="1" applyFont="1" applyFill="1" applyBorder="1"/>
    <xf numFmtId="3" fontId="113" fillId="0" borderId="2" xfId="0" applyNumberFormat="1" applyFont="1" applyFill="1" applyBorder="1" applyAlignment="1">
      <alignment horizontal="right" vertical="center"/>
    </xf>
    <xf numFmtId="3" fontId="152" fillId="0" borderId="1" xfId="0" applyNumberFormat="1" applyFont="1" applyFill="1" applyBorder="1"/>
    <xf numFmtId="3" fontId="153" fillId="0" borderId="1" xfId="0" applyNumberFormat="1" applyFont="1" applyFill="1" applyBorder="1"/>
    <xf numFmtId="3" fontId="153" fillId="0" borderId="1" xfId="0" applyNumberFormat="1" applyFont="1" applyFill="1" applyBorder="1" applyAlignment="1">
      <alignment horizontal="right" vertical="center" wrapText="1"/>
    </xf>
    <xf numFmtId="3" fontId="107" fillId="0" borderId="1" xfId="0" applyNumberFormat="1" applyFont="1" applyFill="1" applyBorder="1" applyAlignment="1">
      <alignment horizontal="right" vertical="center" wrapText="1"/>
    </xf>
    <xf numFmtId="3" fontId="109" fillId="0" borderId="2" xfId="0" applyNumberFormat="1" applyFont="1" applyBorder="1"/>
    <xf numFmtId="3" fontId="1" fillId="0" borderId="2" xfId="0" applyNumberFormat="1" applyFont="1" applyBorder="1"/>
    <xf numFmtId="4" fontId="27" fillId="0" borderId="0" xfId="2" applyNumberFormat="1" applyFont="1" applyBorder="1"/>
    <xf numFmtId="4" fontId="22" fillId="0" borderId="0" xfId="0" applyNumberFormat="1" applyFont="1"/>
    <xf numFmtId="4" fontId="23" fillId="0" borderId="0" xfId="0" applyNumberFormat="1" applyFont="1"/>
    <xf numFmtId="166" fontId="23" fillId="0" borderId="0" xfId="0" applyNumberFormat="1" applyFont="1"/>
    <xf numFmtId="4" fontId="0" fillId="0" borderId="0" xfId="0" applyNumberFormat="1"/>
    <xf numFmtId="4" fontId="29" fillId="0" borderId="0" xfId="0" applyNumberFormat="1" applyFont="1" applyBorder="1"/>
    <xf numFmtId="3" fontId="121" fillId="0" borderId="1" xfId="0" applyNumberFormat="1" applyFont="1" applyFill="1" applyBorder="1" applyAlignment="1">
      <alignment horizontal="left" vertical="center" wrapText="1"/>
    </xf>
    <xf numFmtId="3" fontId="33" fillId="0" borderId="1" xfId="0" applyNumberFormat="1" applyFont="1" applyFill="1" applyBorder="1"/>
    <xf numFmtId="3" fontId="60" fillId="2" borderId="1" xfId="0" applyNumberFormat="1" applyFont="1" applyFill="1" applyBorder="1" applyAlignment="1">
      <alignment horizontal="left" vertical="center" wrapText="1"/>
    </xf>
    <xf numFmtId="3" fontId="33" fillId="0" borderId="1" xfId="0" applyNumberFormat="1" applyFont="1" applyFill="1" applyBorder="1" applyAlignment="1">
      <alignment horizontal="left" vertical="center"/>
    </xf>
    <xf numFmtId="3" fontId="23" fillId="0" borderId="0" xfId="0" applyNumberFormat="1" applyFont="1" applyFill="1" applyAlignment="1">
      <alignment horizontal="right" vertical="center"/>
    </xf>
    <xf numFmtId="3" fontId="27" fillId="0" borderId="1" xfId="0" applyNumberFormat="1" applyFont="1" applyFill="1" applyBorder="1" applyAlignment="1">
      <alignment horizontal="center" vertical="center" wrapText="1"/>
    </xf>
    <xf numFmtId="3" fontId="27" fillId="0" borderId="1" xfId="0" applyNumberFormat="1" applyFont="1" applyFill="1" applyBorder="1" applyAlignment="1">
      <alignment horizontal="center"/>
    </xf>
    <xf numFmtId="166" fontId="27" fillId="0" borderId="1" xfId="0" applyNumberFormat="1" applyFont="1" applyFill="1" applyBorder="1" applyAlignment="1">
      <alignment horizontal="center"/>
    </xf>
    <xf numFmtId="167" fontId="33" fillId="0" borderId="1" xfId="0" applyNumberFormat="1" applyFont="1" applyFill="1" applyBorder="1"/>
    <xf numFmtId="3" fontId="58" fillId="2" borderId="1" xfId="0" applyNumberFormat="1" applyFont="1" applyFill="1" applyBorder="1" applyAlignment="1">
      <alignment horizontal="right" vertical="center"/>
    </xf>
    <xf numFmtId="3" fontId="121" fillId="0" borderId="1" xfId="0" applyNumberFormat="1" applyFont="1" applyFill="1" applyBorder="1"/>
    <xf numFmtId="3" fontId="33" fillId="0" borderId="1" xfId="0" applyNumberFormat="1" applyFont="1" applyFill="1" applyBorder="1" applyAlignment="1">
      <alignment horizontal="left" wrapText="1"/>
    </xf>
    <xf numFmtId="3" fontId="60" fillId="2" borderId="1" xfId="0" applyNumberFormat="1" applyFont="1" applyFill="1" applyBorder="1" applyAlignment="1">
      <alignment vertical="center" wrapText="1"/>
    </xf>
    <xf numFmtId="3" fontId="33" fillId="0" borderId="1" xfId="0" applyNumberFormat="1" applyFont="1" applyFill="1" applyBorder="1" applyAlignment="1">
      <alignment wrapText="1"/>
    </xf>
    <xf numFmtId="3" fontId="33" fillId="0" borderId="1" xfId="0" applyNumberFormat="1" applyFont="1" applyFill="1" applyBorder="1" applyAlignment="1">
      <alignment vertical="center"/>
    </xf>
    <xf numFmtId="3" fontId="27" fillId="0" borderId="1" xfId="0" applyNumberFormat="1" applyFont="1" applyFill="1" applyBorder="1"/>
    <xf numFmtId="3" fontId="59" fillId="0" borderId="0" xfId="0" applyNumberFormat="1" applyFont="1" applyFill="1" applyBorder="1" applyAlignment="1"/>
    <xf numFmtId="3" fontId="26" fillId="0" borderId="4" xfId="0" applyNumberFormat="1" applyFont="1" applyFill="1" applyBorder="1" applyAlignment="1">
      <alignment horizontal="left" wrapText="1"/>
    </xf>
    <xf numFmtId="3" fontId="33" fillId="0" borderId="1" xfId="0" applyNumberFormat="1" applyFont="1" applyFill="1" applyBorder="1" applyAlignment="1">
      <alignment horizontal="center" vertical="center" wrapText="1"/>
    </xf>
    <xf numFmtId="3" fontId="103" fillId="0" borderId="1" xfId="0" applyNumberFormat="1" applyFont="1" applyFill="1" applyBorder="1" applyAlignment="1">
      <alignment horizontal="left" vertical="center" wrapText="1"/>
    </xf>
    <xf numFmtId="3" fontId="121" fillId="0" borderId="1" xfId="0" applyNumberFormat="1" applyFont="1" applyFill="1" applyBorder="1" applyAlignment="1">
      <alignment horizontal="left" vertical="center"/>
    </xf>
    <xf numFmtId="3" fontId="103" fillId="0" borderId="1" xfId="0" applyNumberFormat="1" applyFont="1" applyFill="1" applyBorder="1" applyAlignment="1">
      <alignment horizontal="right" vertical="center"/>
    </xf>
    <xf numFmtId="3" fontId="58" fillId="0" borderId="1" xfId="0" applyNumberFormat="1" applyFont="1" applyFill="1" applyBorder="1" applyAlignment="1">
      <alignment horizontal="right" vertical="center"/>
    </xf>
    <xf numFmtId="3" fontId="41" fillId="2" borderId="1" xfId="0" applyNumberFormat="1" applyFont="1" applyFill="1" applyBorder="1" applyAlignment="1">
      <alignment horizontal="right"/>
    </xf>
    <xf numFmtId="166" fontId="33" fillId="0" borderId="1" xfId="0" applyNumberFormat="1" applyFont="1" applyFill="1" applyBorder="1"/>
    <xf numFmtId="4" fontId="33" fillId="0" borderId="1" xfId="0" applyNumberFormat="1" applyFont="1" applyFill="1" applyBorder="1"/>
    <xf numFmtId="166" fontId="33" fillId="0" borderId="1" xfId="0" applyNumberFormat="1" applyFont="1" applyFill="1" applyBorder="1" applyAlignment="1">
      <alignment vertical="center" wrapText="1"/>
    </xf>
    <xf numFmtId="3" fontId="60" fillId="0" borderId="1" xfId="0" applyNumberFormat="1" applyFont="1" applyFill="1" applyBorder="1" applyAlignment="1">
      <alignment horizontal="left" vertical="center" wrapText="1"/>
    </xf>
    <xf numFmtId="3" fontId="60" fillId="0" borderId="1" xfId="0" applyNumberFormat="1" applyFont="1" applyFill="1" applyBorder="1" applyAlignment="1">
      <alignment horizontal="left" vertical="center"/>
    </xf>
    <xf numFmtId="3" fontId="33" fillId="0" borderId="4" xfId="0" applyNumberFormat="1" applyFont="1" applyFill="1" applyBorder="1" applyAlignment="1">
      <alignment vertical="center" wrapText="1"/>
    </xf>
    <xf numFmtId="3" fontId="33" fillId="0" borderId="7" xfId="0" applyNumberFormat="1" applyFont="1" applyFill="1" applyBorder="1" applyAlignment="1">
      <alignment horizontal="left" vertical="center" wrapText="1"/>
    </xf>
    <xf numFmtId="3" fontId="33" fillId="0" borderId="7" xfId="0" applyNumberFormat="1" applyFont="1" applyFill="1" applyBorder="1" applyAlignment="1">
      <alignment horizontal="center" vertical="center" wrapText="1"/>
    </xf>
    <xf numFmtId="3" fontId="60" fillId="2" borderId="1" xfId="0" applyNumberFormat="1" applyFont="1" applyFill="1" applyBorder="1" applyAlignment="1">
      <alignment horizontal="left" vertical="center"/>
    </xf>
    <xf numFmtId="3" fontId="23" fillId="0" borderId="0" xfId="0" applyNumberFormat="1" applyFont="1" applyAlignment="1">
      <alignment horizontal="center"/>
    </xf>
    <xf numFmtId="164" fontId="7" fillId="0" borderId="0" xfId="0" applyNumberFormat="1" applyFont="1" applyAlignment="1"/>
    <xf numFmtId="3" fontId="155" fillId="0" borderId="9" xfId="0" applyNumberFormat="1" applyFont="1" applyBorder="1" applyAlignment="1">
      <alignment horizontal="center" vertical="center" wrapText="1"/>
    </xf>
    <xf numFmtId="3" fontId="155" fillId="0" borderId="2" xfId="0" applyNumberFormat="1" applyFont="1" applyBorder="1" applyAlignment="1">
      <alignment horizontal="center" vertical="center" wrapText="1"/>
    </xf>
    <xf numFmtId="3" fontId="110" fillId="0" borderId="2" xfId="0" applyNumberFormat="1" applyFont="1" applyBorder="1" applyAlignment="1">
      <alignment horizontal="center" vertical="center" wrapText="1"/>
    </xf>
    <xf numFmtId="3" fontId="111" fillId="0" borderId="7" xfId="0" applyNumberFormat="1" applyFont="1" applyBorder="1"/>
    <xf numFmtId="3" fontId="108" fillId="0" borderId="1" xfId="0" applyNumberFormat="1" applyFont="1" applyBorder="1"/>
    <xf numFmtId="3" fontId="100" fillId="0" borderId="7" xfId="0" applyNumberFormat="1" applyFont="1" applyBorder="1"/>
    <xf numFmtId="10" fontId="108" fillId="0" borderId="1" xfId="0" applyNumberFormat="1" applyFont="1" applyBorder="1"/>
    <xf numFmtId="9" fontId="108" fillId="0" borderId="1" xfId="0" applyNumberFormat="1" applyFont="1" applyBorder="1"/>
    <xf numFmtId="3" fontId="156" fillId="0" borderId="1" xfId="0" applyNumberFormat="1" applyFont="1" applyBorder="1"/>
    <xf numFmtId="9" fontId="156" fillId="0" borderId="1" xfId="0" applyNumberFormat="1" applyFont="1" applyBorder="1"/>
    <xf numFmtId="3" fontId="100" fillId="0" borderId="1" xfId="0" applyNumberFormat="1" applyFont="1" applyBorder="1"/>
    <xf numFmtId="9" fontId="100" fillId="0" borderId="1" xfId="0" applyNumberFormat="1" applyFont="1" applyBorder="1"/>
    <xf numFmtId="3" fontId="100" fillId="0" borderId="1" xfId="0" applyNumberFormat="1" applyFont="1" applyBorder="1" applyAlignment="1">
      <alignment horizontal="right"/>
    </xf>
    <xf numFmtId="9" fontId="100" fillId="0" borderId="1" xfId="0" applyNumberFormat="1" applyFont="1" applyBorder="1" applyAlignment="1">
      <alignment horizontal="right"/>
    </xf>
    <xf numFmtId="3" fontId="156" fillId="0" borderId="4" xfId="0" applyNumberFormat="1" applyFont="1" applyBorder="1"/>
    <xf numFmtId="9" fontId="108" fillId="0" borderId="4" xfId="0" applyNumberFormat="1" applyFont="1" applyBorder="1"/>
    <xf numFmtId="9" fontId="156" fillId="0" borderId="4" xfId="0" applyNumberFormat="1" applyFont="1" applyBorder="1"/>
    <xf numFmtId="3" fontId="100" fillId="0" borderId="10" xfId="0" applyNumberFormat="1" applyFont="1" applyBorder="1"/>
    <xf numFmtId="3" fontId="108" fillId="0" borderId="3" xfId="0" applyNumberFormat="1" applyFont="1" applyBorder="1"/>
    <xf numFmtId="9" fontId="108" fillId="0" borderId="3" xfId="0" applyNumberFormat="1" applyFont="1" applyBorder="1"/>
    <xf numFmtId="3" fontId="100" fillId="0" borderId="3" xfId="0" applyNumberFormat="1" applyFont="1" applyBorder="1"/>
    <xf numFmtId="3" fontId="23" fillId="0" borderId="2" xfId="0" applyNumberFormat="1" applyFont="1" applyBorder="1" applyAlignment="1">
      <alignment horizontal="center" vertical="center"/>
    </xf>
    <xf numFmtId="3" fontId="23" fillId="0" borderId="2" xfId="0" applyNumberFormat="1" applyFont="1" applyBorder="1" applyAlignment="1">
      <alignment horizontal="left" vertical="center"/>
    </xf>
    <xf numFmtId="3" fontId="23" fillId="0" borderId="2" xfId="0" applyNumberFormat="1" applyFont="1" applyFill="1" applyBorder="1" applyAlignment="1">
      <alignment horizontal="left" vertical="center"/>
    </xf>
    <xf numFmtId="3" fontId="43" fillId="2" borderId="1" xfId="0" applyNumberFormat="1" applyFont="1" applyFill="1" applyBorder="1" applyAlignment="1">
      <alignment horizontal="left" vertical="center" wrapText="1"/>
    </xf>
    <xf numFmtId="3" fontId="157" fillId="0" borderId="23" xfId="0" applyNumberFormat="1" applyFont="1" applyBorder="1" applyAlignment="1">
      <alignment horizontal="right"/>
    </xf>
    <xf numFmtId="3" fontId="157" fillId="0" borderId="24" xfId="0" applyNumberFormat="1" applyFont="1" applyBorder="1" applyAlignment="1">
      <alignment horizontal="right"/>
    </xf>
    <xf numFmtId="3" fontId="157" fillId="4" borderId="24" xfId="0" applyNumberFormat="1" applyFont="1" applyFill="1" applyBorder="1" applyAlignment="1">
      <alignment horizontal="right"/>
    </xf>
    <xf numFmtId="3" fontId="19" fillId="0" borderId="0" xfId="0" applyNumberFormat="1" applyFont="1" applyFill="1"/>
    <xf numFmtId="3" fontId="22" fillId="0" borderId="2" xfId="0" applyNumberFormat="1" applyFont="1" applyBorder="1" applyAlignment="1">
      <alignment horizontal="center"/>
    </xf>
    <xf numFmtId="3" fontId="10" fillId="0" borderId="2" xfId="0" applyNumberFormat="1" applyFont="1" applyBorder="1" applyAlignment="1">
      <alignment horizontal="center" vertical="center" wrapText="1"/>
    </xf>
    <xf numFmtId="4" fontId="16" fillId="0" borderId="0" xfId="0" applyNumberFormat="1" applyFont="1" applyAlignment="1">
      <alignment horizontal="left"/>
    </xf>
    <xf numFmtId="3" fontId="26" fillId="0" borderId="2" xfId="0" applyNumberFormat="1" applyFont="1" applyFill="1" applyBorder="1" applyAlignment="1">
      <alignment wrapText="1"/>
    </xf>
    <xf numFmtId="3" fontId="33" fillId="0" borderId="1" xfId="0" applyNumberFormat="1" applyFont="1" applyFill="1" applyBorder="1" applyAlignment="1">
      <alignment horizontal="left" vertical="center" wrapText="1"/>
    </xf>
    <xf numFmtId="3" fontId="59" fillId="2" borderId="7" xfId="0" applyNumberFormat="1" applyFont="1" applyFill="1" applyBorder="1" applyAlignment="1">
      <alignment horizontal="center" vertical="center"/>
    </xf>
    <xf numFmtId="3" fontId="60" fillId="2" borderId="7" xfId="0" applyNumberFormat="1" applyFont="1" applyFill="1" applyBorder="1"/>
    <xf numFmtId="3" fontId="154" fillId="0" borderId="7" xfId="0" applyNumberFormat="1" applyFont="1" applyBorder="1"/>
    <xf numFmtId="3" fontId="119" fillId="0" borderId="7" xfId="0" applyNumberFormat="1" applyFont="1" applyFill="1" applyBorder="1" applyAlignment="1">
      <alignment horizontal="right" vertical="center" wrapText="1"/>
    </xf>
    <xf numFmtId="3" fontId="117" fillId="0" borderId="7" xfId="0" applyNumberFormat="1" applyFont="1" applyFill="1" applyBorder="1" applyAlignment="1">
      <alignment horizontal="right" vertical="center"/>
    </xf>
    <xf numFmtId="3" fontId="118" fillId="0" borderId="7" xfId="0" applyNumberFormat="1" applyFont="1" applyFill="1" applyBorder="1" applyAlignment="1">
      <alignment horizontal="right" vertical="center" wrapText="1"/>
    </xf>
    <xf numFmtId="3" fontId="117" fillId="0" borderId="7" xfId="0" applyNumberFormat="1" applyFont="1" applyFill="1" applyBorder="1" applyAlignment="1">
      <alignment horizontal="right" vertical="center" wrapText="1"/>
    </xf>
    <xf numFmtId="3" fontId="59" fillId="2" borderId="3" xfId="0" applyNumberFormat="1" applyFont="1" applyFill="1" applyBorder="1" applyAlignment="1">
      <alignment horizontal="center" vertical="center"/>
    </xf>
    <xf numFmtId="3" fontId="60" fillId="2" borderId="3" xfId="0" applyNumberFormat="1" applyFont="1" applyFill="1" applyBorder="1"/>
    <xf numFmtId="3" fontId="55" fillId="2" borderId="3" xfId="0" applyNumberFormat="1" applyFont="1" applyFill="1" applyBorder="1" applyAlignment="1">
      <alignment horizontal="left" vertical="center" wrapText="1"/>
    </xf>
    <xf numFmtId="3" fontId="114" fillId="0" borderId="3" xfId="0" applyNumberFormat="1" applyFont="1" applyFill="1" applyBorder="1" applyAlignment="1">
      <alignment horizontal="right" vertical="center" wrapText="1"/>
    </xf>
    <xf numFmtId="3" fontId="119" fillId="0" borderId="3" xfId="0" applyNumberFormat="1" applyFont="1" applyFill="1" applyBorder="1" applyAlignment="1">
      <alignment horizontal="right" vertical="center" wrapText="1"/>
    </xf>
    <xf numFmtId="3" fontId="117" fillId="0" borderId="3" xfId="0" applyNumberFormat="1" applyFont="1" applyFill="1" applyBorder="1" applyAlignment="1">
      <alignment horizontal="right" vertical="center"/>
    </xf>
    <xf numFmtId="3" fontId="118" fillId="0" borderId="3" xfId="0" applyNumberFormat="1" applyFont="1" applyFill="1" applyBorder="1" applyAlignment="1">
      <alignment horizontal="right" vertical="center" wrapText="1"/>
    </xf>
    <xf numFmtId="3" fontId="117" fillId="0" borderId="3" xfId="0" applyNumberFormat="1" applyFont="1" applyFill="1" applyBorder="1" applyAlignment="1">
      <alignment horizontal="right" vertical="center" wrapText="1"/>
    </xf>
    <xf numFmtId="3" fontId="6" fillId="0" borderId="0" xfId="0" applyNumberFormat="1" applyFont="1" applyAlignment="1">
      <alignment horizontal="center"/>
    </xf>
    <xf numFmtId="3" fontId="6" fillId="0" borderId="0" xfId="0" applyNumberFormat="1" applyFont="1" applyAlignment="1">
      <alignment horizontal="center"/>
    </xf>
    <xf numFmtId="3" fontId="24" fillId="0" borderId="0" xfId="0" applyNumberFormat="1" applyFont="1" applyAlignment="1">
      <alignment horizontal="center"/>
    </xf>
    <xf numFmtId="3" fontId="22" fillId="0" borderId="2" xfId="0" applyNumberFormat="1" applyFont="1" applyBorder="1" applyAlignment="1">
      <alignment horizontal="center" vertical="center" wrapText="1"/>
    </xf>
    <xf numFmtId="3" fontId="22" fillId="0" borderId="0" xfId="0" applyNumberFormat="1" applyFont="1" applyAlignment="1">
      <alignment horizontal="center"/>
    </xf>
    <xf numFmtId="3" fontId="23" fillId="0" borderId="0" xfId="0" applyNumberFormat="1" applyFont="1" applyAlignment="1">
      <alignment horizontal="center"/>
    </xf>
    <xf numFmtId="3" fontId="26" fillId="0" borderId="0" xfId="0" applyNumberFormat="1" applyFont="1" applyAlignment="1">
      <alignment horizontal="center"/>
    </xf>
    <xf numFmtId="3" fontId="22" fillId="0" borderId="2" xfId="0" applyNumberFormat="1" applyFont="1" applyBorder="1" applyAlignment="1">
      <alignment horizontal="left"/>
    </xf>
    <xf numFmtId="3" fontId="22" fillId="0" borderId="2" xfId="0" applyNumberFormat="1" applyFont="1" applyFill="1" applyBorder="1" applyAlignment="1">
      <alignment horizontal="left"/>
    </xf>
    <xf numFmtId="3" fontId="65" fillId="0" borderId="4" xfId="0" applyNumberFormat="1" applyFont="1" applyBorder="1"/>
    <xf numFmtId="3" fontId="18" fillId="0" borderId="7" xfId="0" applyNumberFormat="1" applyFont="1" applyBorder="1"/>
    <xf numFmtId="3" fontId="16" fillId="0" borderId="2" xfId="0" applyNumberFormat="1" applyFont="1" applyBorder="1" applyAlignment="1">
      <alignment horizontal="center" wrapText="1"/>
    </xf>
    <xf numFmtId="3" fontId="1" fillId="0" borderId="7" xfId="0" applyNumberFormat="1" applyFont="1" applyBorder="1"/>
    <xf numFmtId="3" fontId="20" fillId="0" borderId="1" xfId="0" applyNumberFormat="1" applyFont="1" applyBorder="1" applyAlignment="1">
      <alignment horizontal="center"/>
    </xf>
    <xf numFmtId="3" fontId="87" fillId="0" borderId="4" xfId="0" applyNumberFormat="1" applyFont="1" applyBorder="1"/>
    <xf numFmtId="10" fontId="87" fillId="0" borderId="4" xfId="0" applyNumberFormat="1" applyFont="1" applyBorder="1"/>
    <xf numFmtId="3" fontId="29" fillId="0" borderId="10" xfId="0" applyNumberFormat="1" applyFont="1" applyBorder="1"/>
    <xf numFmtId="3" fontId="47" fillId="0" borderId="10" xfId="0" applyNumberFormat="1" applyFont="1" applyBorder="1"/>
    <xf numFmtId="3" fontId="0" fillId="0" borderId="7" xfId="0" applyNumberFormat="1" applyBorder="1" applyAlignment="1">
      <alignment horizontal="center"/>
    </xf>
    <xf numFmtId="3" fontId="65" fillId="0" borderId="7" xfId="0" applyNumberFormat="1" applyFont="1" applyBorder="1"/>
    <xf numFmtId="10" fontId="65" fillId="0" borderId="7" xfId="0" applyNumberFormat="1" applyFont="1" applyBorder="1"/>
    <xf numFmtId="9" fontId="65" fillId="0" borderId="7" xfId="0" applyNumberFormat="1" applyFont="1" applyBorder="1"/>
    <xf numFmtId="3" fontId="98" fillId="0" borderId="2" xfId="0" applyNumberFormat="1" applyFont="1" applyBorder="1"/>
    <xf numFmtId="3" fontId="0" fillId="0" borderId="4" xfId="0" applyNumberFormat="1" applyBorder="1" applyAlignment="1">
      <alignment horizontal="center"/>
    </xf>
    <xf numFmtId="3" fontId="64" fillId="0" borderId="4" xfId="0" applyNumberFormat="1" applyFont="1" applyBorder="1"/>
    <xf numFmtId="9" fontId="65" fillId="0" borderId="4" xfId="0" applyNumberFormat="1" applyFont="1" applyBorder="1"/>
    <xf numFmtId="3" fontId="48" fillId="0" borderId="10" xfId="0" applyNumberFormat="1" applyFont="1" applyBorder="1"/>
    <xf numFmtId="9" fontId="98" fillId="0" borderId="2" xfId="0" applyNumberFormat="1" applyFont="1" applyBorder="1"/>
    <xf numFmtId="9" fontId="47" fillId="0" borderId="2" xfId="0" applyNumberFormat="1" applyFont="1" applyBorder="1"/>
    <xf numFmtId="3" fontId="44" fillId="0" borderId="2" xfId="0" applyNumberFormat="1" applyFont="1" applyBorder="1" applyAlignment="1">
      <alignment horizontal="left"/>
    </xf>
    <xf numFmtId="3" fontId="47" fillId="0" borderId="2" xfId="0" applyNumberFormat="1" applyFont="1" applyBorder="1" applyAlignment="1">
      <alignment horizontal="right"/>
    </xf>
    <xf numFmtId="9" fontId="47" fillId="0" borderId="2" xfId="0" applyNumberFormat="1" applyFont="1" applyBorder="1" applyAlignment="1">
      <alignment horizontal="right"/>
    </xf>
    <xf numFmtId="3" fontId="18" fillId="0" borderId="4" xfId="0" applyNumberFormat="1" applyFont="1" applyBorder="1"/>
    <xf numFmtId="3" fontId="10" fillId="0" borderId="4" xfId="0" applyNumberFormat="1" applyFont="1" applyBorder="1"/>
    <xf numFmtId="9" fontId="10" fillId="0" borderId="4" xfId="0" applyNumberFormat="1" applyFont="1" applyBorder="1"/>
    <xf numFmtId="3" fontId="10" fillId="0" borderId="7" xfId="0" applyNumberFormat="1" applyFont="1" applyBorder="1"/>
    <xf numFmtId="9" fontId="10" fillId="0" borderId="7" xfId="0" applyNumberFormat="1" applyFont="1" applyBorder="1"/>
    <xf numFmtId="9" fontId="15" fillId="0" borderId="2" xfId="0" applyNumberFormat="1" applyFont="1" applyBorder="1"/>
    <xf numFmtId="3" fontId="20" fillId="0" borderId="7" xfId="0" applyNumberFormat="1" applyFont="1" applyBorder="1" applyAlignment="1">
      <alignment horizontal="center"/>
    </xf>
    <xf numFmtId="3" fontId="36" fillId="0" borderId="7" xfId="0" applyNumberFormat="1" applyFont="1" applyBorder="1"/>
    <xf numFmtId="9" fontId="36" fillId="0" borderId="7" xfId="0" applyNumberFormat="1" applyFont="1" applyBorder="1"/>
    <xf numFmtId="3" fontId="20" fillId="0" borderId="4" xfId="0" applyNumberFormat="1" applyFont="1" applyBorder="1" applyAlignment="1">
      <alignment horizontal="center"/>
    </xf>
    <xf numFmtId="3" fontId="159" fillId="0" borderId="0" xfId="0" applyNumberFormat="1" applyFont="1" applyAlignment="1">
      <alignment horizontal="left"/>
    </xf>
    <xf numFmtId="3" fontId="160" fillId="0" borderId="0" xfId="0" applyNumberFormat="1" applyFont="1"/>
    <xf numFmtId="3" fontId="158" fillId="0" borderId="7" xfId="0" applyNumberFormat="1" applyFont="1" applyBorder="1"/>
    <xf numFmtId="3" fontId="27" fillId="0" borderId="0" xfId="0" applyNumberFormat="1" applyFont="1" applyFill="1" applyBorder="1" applyAlignment="1">
      <alignment horizontal="center"/>
    </xf>
    <xf numFmtId="3" fontId="33" fillId="0" borderId="5" xfId="0" applyNumberFormat="1" applyFont="1" applyFill="1" applyBorder="1" applyAlignment="1">
      <alignment horizontal="center" vertical="center" wrapText="1"/>
    </xf>
    <xf numFmtId="3" fontId="33" fillId="0" borderId="11" xfId="0" applyNumberFormat="1" applyFont="1" applyFill="1" applyBorder="1" applyAlignment="1">
      <alignment horizontal="center" vertical="center" wrapText="1"/>
    </xf>
    <xf numFmtId="3" fontId="22" fillId="0" borderId="2" xfId="0" applyNumberFormat="1" applyFont="1" applyFill="1" applyBorder="1" applyAlignment="1">
      <alignment horizontal="center" vertical="center" wrapText="1"/>
    </xf>
    <xf numFmtId="3" fontId="33" fillId="0" borderId="2" xfId="0" applyNumberFormat="1" applyFont="1" applyFill="1" applyBorder="1" applyAlignment="1">
      <alignment horizontal="center" vertical="center" wrapText="1"/>
    </xf>
    <xf numFmtId="3" fontId="26" fillId="0" borderId="0" xfId="0" applyNumberFormat="1" applyFont="1" applyFill="1" applyBorder="1" applyAlignment="1">
      <alignment horizontal="center"/>
    </xf>
    <xf numFmtId="3" fontId="22" fillId="0" borderId="0" xfId="0" applyNumberFormat="1" applyFont="1" applyFill="1" applyAlignment="1">
      <alignment horizontal="center"/>
    </xf>
    <xf numFmtId="3" fontId="119" fillId="0" borderId="4" xfId="0" applyNumberFormat="1" applyFont="1" applyFill="1" applyBorder="1" applyAlignment="1">
      <alignment horizontal="right" vertical="center"/>
    </xf>
    <xf numFmtId="3" fontId="119" fillId="0" borderId="7" xfId="0" applyNumberFormat="1" applyFont="1" applyFill="1" applyBorder="1" applyAlignment="1">
      <alignment horizontal="right" vertical="center"/>
    </xf>
    <xf numFmtId="3" fontId="33" fillId="0" borderId="7" xfId="0" applyNumberFormat="1" applyFont="1" applyFill="1" applyBorder="1" applyAlignment="1">
      <alignment horizontal="left" vertical="center" wrapText="1"/>
    </xf>
    <xf numFmtId="3" fontId="60" fillId="0" borderId="7" xfId="0" applyNumberFormat="1" applyFont="1" applyFill="1" applyBorder="1" applyAlignment="1">
      <alignment horizontal="left" vertical="center" wrapText="1"/>
    </xf>
    <xf numFmtId="3" fontId="33" fillId="0" borderId="1" xfId="0" applyNumberFormat="1" applyFont="1" applyFill="1" applyBorder="1" applyAlignment="1">
      <alignment horizontal="left" vertical="center" wrapText="1"/>
    </xf>
    <xf numFmtId="3" fontId="57" fillId="0" borderId="0" xfId="0" applyNumberFormat="1" applyFont="1" applyFill="1" applyAlignment="1">
      <alignment horizontal="left"/>
    </xf>
    <xf numFmtId="3" fontId="57" fillId="0" borderId="0" xfId="0" applyNumberFormat="1" applyFont="1" applyFill="1" applyAlignment="1">
      <alignment horizontal="center"/>
    </xf>
    <xf numFmtId="3" fontId="23" fillId="0" borderId="1" xfId="0" applyNumberFormat="1" applyFont="1" applyFill="1" applyBorder="1" applyAlignment="1">
      <alignment horizontal="left" vertical="center" wrapText="1"/>
    </xf>
    <xf numFmtId="3" fontId="29" fillId="0" borderId="2" xfId="2" applyNumberFormat="1" applyFont="1" applyBorder="1" applyAlignment="1">
      <alignment horizontal="center"/>
    </xf>
    <xf numFmtId="3" fontId="26" fillId="0" borderId="2" xfId="2" applyNumberFormat="1" applyFont="1" applyBorder="1" applyAlignment="1">
      <alignment horizontal="center"/>
    </xf>
    <xf numFmtId="164" fontId="48" fillId="0" borderId="2" xfId="0" applyNumberFormat="1" applyFont="1" applyFill="1" applyBorder="1" applyAlignment="1">
      <alignment horizontal="center"/>
    </xf>
    <xf numFmtId="164" fontId="26" fillId="0" borderId="2" xfId="2" applyNumberFormat="1" applyFont="1" applyBorder="1" applyAlignment="1">
      <alignment horizontal="center"/>
    </xf>
    <xf numFmtId="3" fontId="61" fillId="0" borderId="7" xfId="0" applyNumberFormat="1" applyFont="1" applyFill="1" applyBorder="1" applyAlignment="1">
      <alignment horizontal="center" vertical="center"/>
    </xf>
    <xf numFmtId="3" fontId="162" fillId="0" borderId="7" xfId="0" applyNumberFormat="1" applyFont="1" applyFill="1" applyBorder="1" applyAlignment="1">
      <alignment horizontal="left" vertical="center" wrapText="1"/>
    </xf>
    <xf numFmtId="3" fontId="163" fillId="0" borderId="1" xfId="0" applyNumberFormat="1" applyFont="1" applyFill="1" applyBorder="1" applyAlignment="1">
      <alignment horizontal="right" vertical="center" wrapText="1"/>
    </xf>
    <xf numFmtId="166" fontId="163" fillId="0" borderId="1" xfId="0" applyNumberFormat="1" applyFont="1" applyFill="1" applyBorder="1" applyAlignment="1">
      <alignment horizontal="right" vertical="center"/>
    </xf>
    <xf numFmtId="166" fontId="164" fillId="0" borderId="1" xfId="0" applyNumberFormat="1" applyFont="1" applyFill="1" applyBorder="1" applyAlignment="1">
      <alignment horizontal="right" vertical="center" wrapText="1"/>
    </xf>
    <xf numFmtId="4" fontId="164" fillId="0" borderId="1" xfId="0" applyNumberFormat="1" applyFont="1" applyFill="1" applyBorder="1" applyAlignment="1">
      <alignment horizontal="right" vertical="center" wrapText="1"/>
    </xf>
    <xf numFmtId="3" fontId="163" fillId="2" borderId="1" xfId="0" applyNumberFormat="1" applyFont="1" applyFill="1" applyBorder="1" applyAlignment="1">
      <alignment horizontal="right" vertical="center"/>
    </xf>
    <xf numFmtId="3" fontId="164" fillId="0" borderId="1" xfId="0" applyNumberFormat="1" applyFont="1" applyFill="1" applyBorder="1" applyAlignment="1">
      <alignment horizontal="right" vertical="center" wrapText="1"/>
    </xf>
    <xf numFmtId="3" fontId="43" fillId="2" borderId="3" xfId="0" applyNumberFormat="1" applyFont="1" applyFill="1" applyBorder="1" applyAlignment="1">
      <alignment horizontal="center" vertical="center"/>
    </xf>
    <xf numFmtId="3" fontId="164" fillId="0" borderId="3" xfId="0" applyNumberFormat="1" applyFont="1" applyFill="1" applyBorder="1" applyAlignment="1">
      <alignment horizontal="right" vertical="center" wrapText="1"/>
    </xf>
    <xf numFmtId="3" fontId="165" fillId="0" borderId="25" xfId="0" applyNumberFormat="1" applyFont="1" applyFill="1" applyBorder="1" applyAlignment="1">
      <alignment horizontal="right" vertical="center" wrapText="1"/>
    </xf>
    <xf numFmtId="3" fontId="22" fillId="0" borderId="3" xfId="0" applyNumberFormat="1" applyFont="1" applyFill="1" applyBorder="1" applyAlignment="1">
      <alignment horizontal="center" vertical="center" wrapText="1"/>
    </xf>
    <xf numFmtId="3" fontId="43" fillId="2" borderId="7" xfId="0" applyNumberFormat="1" applyFont="1" applyFill="1" applyBorder="1" applyAlignment="1">
      <alignment horizontal="center" vertical="center"/>
    </xf>
    <xf numFmtId="3" fontId="164" fillId="0" borderId="7" xfId="0" applyNumberFormat="1" applyFont="1" applyFill="1" applyBorder="1" applyAlignment="1">
      <alignment horizontal="right" vertical="center" wrapText="1"/>
    </xf>
    <xf numFmtId="3" fontId="120" fillId="0" borderId="1" xfId="0" applyNumberFormat="1" applyFont="1" applyFill="1" applyBorder="1" applyAlignment="1">
      <alignment horizontal="right" vertical="center" wrapText="1"/>
    </xf>
    <xf numFmtId="3" fontId="166" fillId="0" borderId="7" xfId="0" applyNumberFormat="1" applyFont="1" applyBorder="1"/>
    <xf numFmtId="3" fontId="162" fillId="2" borderId="1" xfId="0" applyNumberFormat="1" applyFont="1" applyFill="1" applyBorder="1" applyAlignment="1">
      <alignment horizontal="left" vertical="center" wrapText="1"/>
    </xf>
    <xf numFmtId="3" fontId="167" fillId="2" borderId="1" xfId="0" applyNumberFormat="1" applyFont="1" applyFill="1" applyBorder="1" applyAlignment="1">
      <alignment horizontal="right" vertical="center"/>
    </xf>
    <xf numFmtId="3" fontId="168" fillId="2" borderId="1" xfId="0" applyNumberFormat="1" applyFont="1" applyFill="1" applyBorder="1" applyAlignment="1">
      <alignment horizontal="right" vertical="center"/>
    </xf>
    <xf numFmtId="3" fontId="168" fillId="0" borderId="1" xfId="0" applyNumberFormat="1" applyFont="1" applyFill="1" applyBorder="1" applyAlignment="1">
      <alignment horizontal="right" vertical="center"/>
    </xf>
    <xf numFmtId="3" fontId="169" fillId="2" borderId="1" xfId="0" applyNumberFormat="1" applyFont="1" applyFill="1" applyBorder="1" applyAlignment="1">
      <alignment horizontal="right" vertical="center"/>
    </xf>
    <xf numFmtId="3" fontId="77" fillId="0" borderId="1" xfId="0" applyNumberFormat="1" applyFont="1" applyFill="1" applyBorder="1" applyAlignment="1">
      <alignment horizontal="left" vertical="center" wrapText="1"/>
    </xf>
    <xf numFmtId="3" fontId="164" fillId="2" borderId="1" xfId="0" applyNumberFormat="1" applyFont="1" applyFill="1" applyBorder="1" applyAlignment="1">
      <alignment horizontal="right" vertical="center"/>
    </xf>
    <xf numFmtId="166" fontId="27" fillId="0" borderId="1" xfId="0" applyNumberFormat="1" applyFont="1" applyFill="1" applyBorder="1" applyAlignment="1">
      <alignment horizontal="center" vertical="center" wrapText="1"/>
    </xf>
    <xf numFmtId="167" fontId="22" fillId="0" borderId="0" xfId="0" applyNumberFormat="1" applyFont="1" applyFill="1" applyAlignment="1">
      <alignment horizontal="center" vertical="center" wrapText="1"/>
    </xf>
    <xf numFmtId="166" fontId="163" fillId="2" borderId="1" xfId="0" applyNumberFormat="1" applyFont="1" applyFill="1" applyBorder="1" applyAlignment="1">
      <alignment horizontal="right" vertical="center"/>
    </xf>
    <xf numFmtId="166" fontId="164" fillId="0" borderId="1" xfId="0" applyNumberFormat="1" applyFont="1" applyFill="1" applyBorder="1" applyAlignment="1">
      <alignment horizontal="right" vertical="center"/>
    </xf>
    <xf numFmtId="170" fontId="22" fillId="0" borderId="0" xfId="0" applyNumberFormat="1" applyFont="1" applyFill="1" applyAlignment="1">
      <alignment horizontal="center"/>
    </xf>
    <xf numFmtId="4" fontId="164" fillId="0" borderId="1" xfId="0" applyNumberFormat="1" applyFont="1" applyFill="1" applyBorder="1" applyAlignment="1">
      <alignment horizontal="right" vertical="center"/>
    </xf>
    <xf numFmtId="3" fontId="164" fillId="0" borderId="1" xfId="0" applyNumberFormat="1" applyFont="1" applyFill="1" applyBorder="1" applyAlignment="1">
      <alignment horizontal="right" vertical="center"/>
    </xf>
    <xf numFmtId="3" fontId="163" fillId="0" borderId="1" xfId="0" applyNumberFormat="1" applyFont="1" applyFill="1" applyBorder="1" applyAlignment="1">
      <alignment horizontal="right" vertical="center"/>
    </xf>
    <xf numFmtId="3" fontId="170" fillId="0" borderId="1" xfId="0" applyNumberFormat="1" applyFont="1" applyFill="1" applyBorder="1" applyAlignment="1">
      <alignment horizontal="right" vertical="center"/>
    </xf>
    <xf numFmtId="3" fontId="171" fillId="0" borderId="1" xfId="0" applyNumberFormat="1" applyFont="1" applyFill="1" applyBorder="1" applyAlignment="1">
      <alignment horizontal="right" vertical="center" wrapText="1"/>
    </xf>
    <xf numFmtId="3" fontId="172" fillId="0" borderId="1" xfId="0" applyNumberFormat="1" applyFont="1" applyFill="1" applyBorder="1" applyAlignment="1">
      <alignment horizontal="right" vertical="center"/>
    </xf>
    <xf numFmtId="3" fontId="56" fillId="0" borderId="1" xfId="0" applyNumberFormat="1" applyFont="1" applyFill="1" applyBorder="1"/>
    <xf numFmtId="3" fontId="28" fillId="0" borderId="0" xfId="0" applyNumberFormat="1" applyFont="1" applyFill="1"/>
    <xf numFmtId="3" fontId="28" fillId="2" borderId="1" xfId="0" applyNumberFormat="1" applyFont="1" applyFill="1" applyBorder="1" applyAlignment="1">
      <alignment horizontal="center" vertical="center"/>
    </xf>
    <xf numFmtId="3" fontId="164" fillId="0" borderId="1" xfId="0" applyNumberFormat="1" applyFont="1" applyFill="1" applyBorder="1" applyAlignment="1">
      <alignment vertical="center"/>
    </xf>
    <xf numFmtId="3" fontId="61" fillId="2" borderId="7" xfId="0" applyNumberFormat="1" applyFont="1" applyFill="1" applyBorder="1" applyAlignment="1">
      <alignment horizontal="center" vertical="center"/>
    </xf>
    <xf numFmtId="3" fontId="162" fillId="2" borderId="7" xfId="0" applyNumberFormat="1" applyFont="1" applyFill="1" applyBorder="1" applyAlignment="1">
      <alignment horizontal="left" vertical="center" wrapText="1"/>
    </xf>
    <xf numFmtId="0" fontId="173" fillId="0" borderId="1" xfId="0" applyFont="1" applyBorder="1"/>
    <xf numFmtId="3" fontId="174" fillId="0" borderId="1" xfId="0" applyNumberFormat="1" applyFont="1" applyFill="1" applyBorder="1" applyAlignment="1">
      <alignment horizontal="right" vertical="center"/>
    </xf>
    <xf numFmtId="3" fontId="171" fillId="0" borderId="1" xfId="0" applyNumberFormat="1" applyFont="1" applyFill="1" applyBorder="1" applyAlignment="1">
      <alignment horizontal="right" vertical="center"/>
    </xf>
    <xf numFmtId="3" fontId="175" fillId="0" borderId="1" xfId="0" applyNumberFormat="1" applyFont="1" applyFill="1" applyBorder="1" applyAlignment="1">
      <alignment horizontal="left" vertical="center"/>
    </xf>
    <xf numFmtId="0" fontId="166" fillId="0" borderId="7" xfId="0" applyFont="1" applyBorder="1"/>
    <xf numFmtId="3" fontId="170" fillId="0" borderId="7" xfId="0" applyNumberFormat="1" applyFont="1" applyFill="1" applyBorder="1" applyAlignment="1">
      <alignment horizontal="right" vertical="center"/>
    </xf>
    <xf numFmtId="3" fontId="175" fillId="0" borderId="1" xfId="0" applyNumberFormat="1" applyFont="1" applyFill="1" applyBorder="1"/>
    <xf numFmtId="3" fontId="167" fillId="0" borderId="1" xfId="0" applyNumberFormat="1" applyFont="1" applyFill="1" applyBorder="1" applyAlignment="1">
      <alignment horizontal="right" vertical="center"/>
    </xf>
    <xf numFmtId="3" fontId="169" fillId="0" borderId="1" xfId="0" applyNumberFormat="1" applyFont="1" applyFill="1" applyBorder="1" applyAlignment="1">
      <alignment horizontal="right" vertical="center"/>
    </xf>
    <xf numFmtId="3" fontId="77" fillId="0" borderId="1" xfId="0" applyNumberFormat="1" applyFont="1" applyFill="1" applyBorder="1" applyAlignment="1">
      <alignment horizontal="right" vertical="center"/>
    </xf>
    <xf numFmtId="3" fontId="176" fillId="0" borderId="1" xfId="0" applyNumberFormat="1" applyFont="1" applyFill="1" applyBorder="1" applyAlignment="1">
      <alignment horizontal="right" vertical="center"/>
    </xf>
    <xf numFmtId="3" fontId="56" fillId="0" borderId="1" xfId="0" applyNumberFormat="1" applyFont="1" applyFill="1" applyBorder="1" applyAlignment="1">
      <alignment horizontal="left" vertical="center" wrapText="1"/>
    </xf>
    <xf numFmtId="3" fontId="177" fillId="2" borderId="1" xfId="0" applyNumberFormat="1" applyFont="1" applyFill="1" applyBorder="1" applyAlignment="1">
      <alignment horizontal="center" vertical="center"/>
    </xf>
    <xf numFmtId="3" fontId="61" fillId="2" borderId="1" xfId="0" applyNumberFormat="1" applyFont="1" applyFill="1" applyBorder="1" applyAlignment="1">
      <alignment horizontal="left" vertical="center" wrapText="1"/>
    </xf>
    <xf numFmtId="166" fontId="119" fillId="0" borderId="1" xfId="0" applyNumberFormat="1" applyFont="1" applyFill="1" applyBorder="1" applyAlignment="1">
      <alignment horizontal="right" vertical="center"/>
    </xf>
    <xf numFmtId="3" fontId="23" fillId="0" borderId="1" xfId="0" applyNumberFormat="1" applyFont="1" applyFill="1" applyBorder="1" applyAlignment="1">
      <alignment horizontal="right" vertical="center"/>
    </xf>
    <xf numFmtId="3" fontId="178" fillId="0" borderId="1" xfId="0" applyNumberFormat="1" applyFont="1" applyFill="1" applyBorder="1" applyAlignment="1">
      <alignment horizontal="right" vertical="center"/>
    </xf>
    <xf numFmtId="3" fontId="29" fillId="0" borderId="1" xfId="0" applyNumberFormat="1" applyFont="1" applyFill="1" applyBorder="1"/>
    <xf numFmtId="3" fontId="179" fillId="2" borderId="1" xfId="0" applyNumberFormat="1" applyFont="1" applyFill="1" applyBorder="1" applyAlignment="1">
      <alignment horizontal="center" vertical="center"/>
    </xf>
    <xf numFmtId="3" fontId="180" fillId="2" borderId="1" xfId="0" applyNumberFormat="1" applyFont="1" applyFill="1" applyBorder="1" applyAlignment="1">
      <alignment horizontal="left" vertical="center" wrapText="1"/>
    </xf>
    <xf numFmtId="3" fontId="181" fillId="2" borderId="1" xfId="0" applyNumberFormat="1" applyFont="1" applyFill="1" applyBorder="1" applyAlignment="1">
      <alignment horizontal="right" vertical="center"/>
    </xf>
    <xf numFmtId="3" fontId="182" fillId="2" borderId="1" xfId="0" applyNumberFormat="1" applyFont="1" applyFill="1" applyBorder="1" applyAlignment="1">
      <alignment horizontal="right" vertical="center"/>
    </xf>
    <xf numFmtId="3" fontId="183" fillId="2" borderId="1" xfId="0" applyNumberFormat="1" applyFont="1" applyFill="1" applyBorder="1" applyAlignment="1">
      <alignment horizontal="right" vertical="center"/>
    </xf>
    <xf numFmtId="3" fontId="183" fillId="0" borderId="1" xfId="0" applyNumberFormat="1" applyFont="1" applyFill="1" applyBorder="1" applyAlignment="1">
      <alignment horizontal="right" vertical="center" wrapText="1"/>
    </xf>
    <xf numFmtId="3" fontId="184" fillId="2" borderId="1" xfId="0" applyNumberFormat="1" applyFont="1" applyFill="1" applyBorder="1" applyAlignment="1">
      <alignment horizontal="right" vertical="center"/>
    </xf>
    <xf numFmtId="3" fontId="119" fillId="0" borderId="4" xfId="0" applyNumberFormat="1" applyFont="1" applyFill="1" applyBorder="1" applyAlignment="1">
      <alignment horizontal="center" vertical="center"/>
    </xf>
    <xf numFmtId="3" fontId="119" fillId="0" borderId="7" xfId="0" applyNumberFormat="1" applyFont="1" applyFill="1" applyBorder="1" applyAlignment="1">
      <alignment horizontal="center" vertical="center"/>
    </xf>
    <xf numFmtId="3" fontId="120" fillId="0" borderId="1" xfId="0" applyNumberFormat="1" applyFont="1" applyFill="1" applyBorder="1" applyAlignment="1">
      <alignment horizontal="right" vertical="center"/>
    </xf>
    <xf numFmtId="3" fontId="185" fillId="0" borderId="1" xfId="0" applyNumberFormat="1" applyFont="1" applyFill="1" applyBorder="1" applyAlignment="1">
      <alignment horizontal="right" vertical="center"/>
    </xf>
    <xf numFmtId="164" fontId="164" fillId="0" borderId="1" xfId="0" applyNumberFormat="1" applyFont="1" applyFill="1" applyBorder="1" applyAlignment="1">
      <alignment horizontal="right" vertical="center"/>
    </xf>
    <xf numFmtId="3" fontId="170" fillId="0" borderId="1" xfId="0" applyNumberFormat="1" applyFont="1" applyFill="1" applyBorder="1"/>
    <xf numFmtId="3" fontId="172" fillId="0" borderId="1" xfId="0" applyNumberFormat="1" applyFont="1" applyFill="1" applyBorder="1"/>
    <xf numFmtId="3" fontId="120" fillId="0" borderId="7" xfId="0" applyNumberFormat="1" applyFont="1" applyFill="1" applyBorder="1"/>
    <xf numFmtId="3" fontId="162" fillId="2" borderId="1" xfId="1" applyNumberFormat="1" applyFont="1" applyFill="1" applyBorder="1" applyAlignment="1">
      <alignment horizontal="left" vertical="center" wrapText="1"/>
    </xf>
    <xf numFmtId="3" fontId="61" fillId="0" borderId="1" xfId="0" applyNumberFormat="1" applyFont="1" applyFill="1" applyBorder="1" applyAlignment="1">
      <alignment horizontal="center"/>
    </xf>
    <xf numFmtId="3" fontId="161" fillId="0" borderId="1" xfId="0" applyNumberFormat="1" applyFont="1" applyFill="1" applyBorder="1" applyAlignment="1">
      <alignment horizontal="center"/>
    </xf>
    <xf numFmtId="3" fontId="186" fillId="2" borderId="1" xfId="0" applyNumberFormat="1" applyFont="1" applyFill="1" applyBorder="1" applyAlignment="1">
      <alignment horizontal="left" vertical="center" wrapText="1"/>
    </xf>
    <xf numFmtId="3" fontId="161" fillId="2" borderId="1" xfId="0" applyNumberFormat="1" applyFont="1" applyFill="1" applyBorder="1" applyAlignment="1">
      <alignment horizontal="left" vertical="center" wrapText="1"/>
    </xf>
    <xf numFmtId="3" fontId="166" fillId="2" borderId="1" xfId="0" applyNumberFormat="1" applyFont="1" applyFill="1" applyBorder="1" applyAlignment="1">
      <alignment horizontal="center" vertical="center"/>
    </xf>
    <xf numFmtId="3" fontId="173" fillId="2" borderId="1" xfId="0" applyNumberFormat="1" applyFont="1" applyFill="1" applyBorder="1" applyAlignment="1">
      <alignment horizontal="left" vertical="center" wrapText="1"/>
    </xf>
    <xf numFmtId="164" fontId="163" fillId="0" borderId="1" xfId="0" applyNumberFormat="1" applyFont="1" applyFill="1" applyBorder="1" applyAlignment="1">
      <alignment horizontal="right" vertical="center"/>
    </xf>
    <xf numFmtId="4" fontId="119" fillId="0" borderId="1" xfId="0" applyNumberFormat="1" applyFont="1" applyFill="1" applyBorder="1" applyAlignment="1">
      <alignment horizontal="right" vertical="center"/>
    </xf>
    <xf numFmtId="0" fontId="59" fillId="0" borderId="1" xfId="0" applyFont="1" applyBorder="1" applyAlignment="1">
      <alignment horizontal="left" vertical="center" wrapText="1"/>
    </xf>
    <xf numFmtId="3" fontId="114" fillId="0" borderId="4" xfId="0" applyNumberFormat="1" applyFont="1" applyFill="1" applyBorder="1" applyAlignment="1">
      <alignment horizontal="right" vertical="center"/>
    </xf>
    <xf numFmtId="3" fontId="163" fillId="0" borderId="4" xfId="0" applyNumberFormat="1" applyFont="1" applyFill="1" applyBorder="1" applyAlignment="1">
      <alignment horizontal="right" vertical="center"/>
    </xf>
    <xf numFmtId="3" fontId="57" fillId="0" borderId="10" xfId="0" applyNumberFormat="1" applyFont="1" applyFill="1" applyBorder="1" applyAlignment="1">
      <alignment horizontal="center" vertical="center"/>
    </xf>
    <xf numFmtId="3" fontId="54" fillId="2" borderId="10" xfId="0" applyNumberFormat="1" applyFont="1" applyFill="1" applyBorder="1" applyAlignment="1">
      <alignment horizontal="left" vertical="center" wrapText="1"/>
    </xf>
    <xf numFmtId="3" fontId="116" fillId="0" borderId="10" xfId="0" applyNumberFormat="1" applyFont="1" applyFill="1" applyBorder="1" applyAlignment="1">
      <alignment horizontal="right" vertical="center"/>
    </xf>
    <xf numFmtId="3" fontId="114" fillId="0" borderId="10" xfId="0" applyNumberFormat="1" applyFont="1" applyFill="1" applyBorder="1" applyAlignment="1">
      <alignment horizontal="right" vertical="center"/>
    </xf>
    <xf numFmtId="3" fontId="163" fillId="0" borderId="10" xfId="0" applyNumberFormat="1" applyFont="1" applyFill="1" applyBorder="1" applyAlignment="1">
      <alignment horizontal="right" vertical="center"/>
    </xf>
    <xf numFmtId="3" fontId="23" fillId="0" borderId="10" xfId="0" applyNumberFormat="1" applyFont="1" applyFill="1" applyBorder="1"/>
    <xf numFmtId="3" fontId="163" fillId="2" borderId="2" xfId="0" applyNumberFormat="1" applyFont="1" applyFill="1" applyBorder="1" applyAlignment="1">
      <alignment horizontal="right" vertical="center"/>
    </xf>
    <xf numFmtId="3" fontId="180" fillId="0" borderId="2" xfId="0" applyNumberFormat="1" applyFont="1" applyFill="1" applyBorder="1" applyAlignment="1">
      <alignment wrapText="1"/>
    </xf>
    <xf numFmtId="3" fontId="25" fillId="0" borderId="0" xfId="0" applyNumberFormat="1" applyFont="1" applyBorder="1" applyAlignment="1">
      <alignment horizontal="left"/>
    </xf>
    <xf numFmtId="3" fontId="71" fillId="0" borderId="1" xfId="0" applyNumberFormat="1" applyFont="1" applyFill="1" applyBorder="1" applyAlignment="1">
      <alignment horizontal="right"/>
    </xf>
    <xf numFmtId="3" fontId="42" fillId="0" borderId="1" xfId="0" applyNumberFormat="1" applyFont="1" applyFill="1" applyBorder="1" applyAlignment="1">
      <alignment horizontal="right"/>
    </xf>
    <xf numFmtId="3" fontId="187" fillId="0" borderId="1" xfId="0" applyNumberFormat="1" applyFont="1" applyFill="1" applyBorder="1"/>
    <xf numFmtId="3" fontId="107" fillId="0" borderId="1" xfId="0" applyNumberFormat="1" applyFont="1" applyFill="1" applyBorder="1"/>
    <xf numFmtId="3" fontId="49" fillId="0" borderId="1" xfId="0" applyNumberFormat="1" applyFont="1" applyFill="1" applyBorder="1"/>
    <xf numFmtId="3" fontId="48" fillId="0" borderId="1" xfId="0" applyNumberFormat="1" applyFont="1" applyFill="1" applyBorder="1" applyAlignment="1">
      <alignment horizontal="right" vertical="center" wrapText="1"/>
    </xf>
    <xf numFmtId="3" fontId="188" fillId="0" borderId="1" xfId="0" applyNumberFormat="1" applyFont="1" applyFill="1" applyBorder="1"/>
    <xf numFmtId="3" fontId="189" fillId="0" borderId="1" xfId="0" applyNumberFormat="1" applyFont="1" applyFill="1" applyBorder="1"/>
    <xf numFmtId="4" fontId="190" fillId="0" borderId="1" xfId="0" applyNumberFormat="1" applyFont="1" applyFill="1" applyBorder="1"/>
    <xf numFmtId="3" fontId="190" fillId="0" borderId="1" xfId="0" applyNumberFormat="1" applyFont="1" applyFill="1" applyBorder="1"/>
    <xf numFmtId="166" fontId="190" fillId="0" borderId="1" xfId="0" applyNumberFormat="1" applyFont="1" applyFill="1" applyBorder="1"/>
    <xf numFmtId="164" fontId="190" fillId="0" borderId="1" xfId="0" applyNumberFormat="1" applyFont="1" applyFill="1" applyBorder="1"/>
    <xf numFmtId="164" fontId="189" fillId="0" borderId="1" xfId="0" applyNumberFormat="1" applyFont="1" applyFill="1" applyBorder="1"/>
    <xf numFmtId="166" fontId="189" fillId="0" borderId="1" xfId="0" applyNumberFormat="1" applyFont="1" applyFill="1" applyBorder="1"/>
    <xf numFmtId="3" fontId="189" fillId="2" borderId="1" xfId="0" applyNumberFormat="1" applyFont="1" applyFill="1" applyBorder="1"/>
    <xf numFmtId="164" fontId="189" fillId="2" borderId="1" xfId="0" applyNumberFormat="1" applyFont="1" applyFill="1" applyBorder="1"/>
    <xf numFmtId="3" fontId="191" fillId="0" borderId="1" xfId="0" applyNumberFormat="1" applyFont="1" applyFill="1" applyBorder="1"/>
    <xf numFmtId="166" fontId="191" fillId="0" borderId="1" xfId="0" applyNumberFormat="1" applyFont="1" applyFill="1" applyBorder="1"/>
    <xf numFmtId="4" fontId="189" fillId="0" borderId="1" xfId="0" applyNumberFormat="1" applyFont="1" applyFill="1" applyBorder="1"/>
    <xf numFmtId="3" fontId="192" fillId="0" borderId="1" xfId="0" applyNumberFormat="1" applyFont="1" applyFill="1" applyBorder="1"/>
    <xf numFmtId="3" fontId="193" fillId="0" borderId="1" xfId="0" applyNumberFormat="1" applyFont="1" applyFill="1" applyBorder="1"/>
    <xf numFmtId="166" fontId="189" fillId="2" borderId="1" xfId="0" applyNumberFormat="1" applyFont="1" applyFill="1" applyBorder="1"/>
    <xf numFmtId="4" fontId="189" fillId="2" borderId="1" xfId="0" applyNumberFormat="1" applyFont="1" applyFill="1" applyBorder="1"/>
    <xf numFmtId="3" fontId="191" fillId="2" borderId="1" xfId="0" applyNumberFormat="1" applyFont="1" applyFill="1" applyBorder="1"/>
    <xf numFmtId="164" fontId="191" fillId="2" borderId="1" xfId="0" applyNumberFormat="1" applyFont="1" applyFill="1" applyBorder="1"/>
    <xf numFmtId="4" fontId="188" fillId="0" borderId="1" xfId="0" applyNumberFormat="1" applyFont="1" applyFill="1" applyBorder="1"/>
    <xf numFmtId="3" fontId="189" fillId="0" borderId="1" xfId="1" applyNumberFormat="1" applyFont="1" applyFill="1" applyBorder="1"/>
    <xf numFmtId="3" fontId="14" fillId="0" borderId="1" xfId="0" applyNumberFormat="1" applyFont="1" applyFill="1" applyBorder="1" applyAlignment="1">
      <alignment horizontal="center" vertical="center"/>
    </xf>
    <xf numFmtId="3" fontId="14" fillId="0" borderId="4" xfId="0" applyNumberFormat="1" applyFont="1" applyFill="1" applyBorder="1" applyAlignment="1">
      <alignment horizontal="center" vertical="center"/>
    </xf>
    <xf numFmtId="3" fontId="26" fillId="0" borderId="4" xfId="0" applyNumberFormat="1" applyFont="1" applyFill="1" applyBorder="1" applyAlignment="1">
      <alignment horizontal="left" vertical="center" wrapText="1"/>
    </xf>
    <xf numFmtId="3" fontId="157" fillId="4" borderId="0" xfId="0" applyNumberFormat="1" applyFont="1" applyFill="1" applyBorder="1" applyAlignment="1">
      <alignment horizontal="right"/>
    </xf>
    <xf numFmtId="164" fontId="29" fillId="0" borderId="0" xfId="0" applyNumberFormat="1" applyFont="1" applyBorder="1"/>
    <xf numFmtId="3" fontId="33" fillId="0" borderId="1" xfId="0" applyNumberFormat="1" applyFont="1" applyFill="1" applyBorder="1" applyAlignment="1">
      <alignment horizontal="left" vertical="center" wrapText="1"/>
    </xf>
    <xf numFmtId="3" fontId="33" fillId="0" borderId="1" xfId="0" applyNumberFormat="1" applyFont="1" applyFill="1" applyBorder="1" applyAlignment="1">
      <alignment horizontal="left" vertical="center" wrapText="1"/>
    </xf>
    <xf numFmtId="3" fontId="22" fillId="0" borderId="2" xfId="0" applyNumberFormat="1" applyFont="1" applyBorder="1" applyAlignment="1">
      <alignment horizontal="center" vertical="center"/>
    </xf>
    <xf numFmtId="3" fontId="14" fillId="0" borderId="2" xfId="0" applyNumberFormat="1" applyFont="1" applyBorder="1" applyAlignment="1">
      <alignment horizontal="center" vertical="center" wrapText="1"/>
    </xf>
    <xf numFmtId="3" fontId="7" fillId="0" borderId="0" xfId="0" applyNumberFormat="1" applyFont="1" applyAlignment="1">
      <alignment horizontal="left"/>
    </xf>
    <xf numFmtId="3" fontId="22" fillId="0" borderId="2" xfId="0" applyNumberFormat="1" applyFont="1" applyBorder="1" applyAlignment="1">
      <alignment horizontal="center" vertical="center" wrapText="1"/>
    </xf>
    <xf numFmtId="3" fontId="7" fillId="0" borderId="0" xfId="0" applyNumberFormat="1" applyFont="1" applyFill="1" applyAlignment="1">
      <alignment horizontal="center"/>
    </xf>
    <xf numFmtId="3" fontId="15" fillId="0" borderId="14" xfId="0" applyNumberFormat="1" applyFont="1" applyFill="1" applyBorder="1" applyAlignment="1">
      <alignment horizontal="center" vertical="center" wrapText="1"/>
    </xf>
    <xf numFmtId="3" fontId="15" fillId="0" borderId="2" xfId="0" applyNumberFormat="1" applyFont="1" applyFill="1" applyBorder="1" applyAlignment="1">
      <alignment horizontal="center" vertical="center" wrapText="1"/>
    </xf>
    <xf numFmtId="3" fontId="26" fillId="0" borderId="2" xfId="0" applyNumberFormat="1" applyFont="1" applyFill="1" applyBorder="1" applyAlignment="1">
      <alignment horizontal="center" vertical="center" wrapText="1"/>
    </xf>
    <xf numFmtId="3" fontId="26" fillId="0" borderId="0" xfId="0" applyNumberFormat="1" applyFont="1" applyFill="1" applyAlignment="1">
      <alignment horizontal="center"/>
    </xf>
    <xf numFmtId="3" fontId="26" fillId="0" borderId="0" xfId="0" applyNumberFormat="1" applyFont="1" applyFill="1" applyAlignment="1">
      <alignment horizontal="left"/>
    </xf>
    <xf numFmtId="3" fontId="30" fillId="0" borderId="0" xfId="0" applyNumberFormat="1" applyFont="1" applyFill="1" applyAlignment="1">
      <alignment horizontal="center"/>
    </xf>
    <xf numFmtId="3" fontId="27" fillId="0" borderId="0" xfId="0" applyNumberFormat="1" applyFont="1" applyFill="1" applyBorder="1" applyAlignment="1">
      <alignment horizontal="center"/>
    </xf>
    <xf numFmtId="3" fontId="33" fillId="0" borderId="5" xfId="0" applyNumberFormat="1" applyFont="1" applyFill="1" applyBorder="1" applyAlignment="1">
      <alignment horizontal="center" vertical="center" wrapText="1"/>
    </xf>
    <xf numFmtId="3" fontId="33" fillId="0" borderId="11" xfId="0" applyNumberFormat="1" applyFont="1" applyFill="1" applyBorder="1" applyAlignment="1">
      <alignment horizontal="center" vertical="center" wrapText="1"/>
    </xf>
    <xf numFmtId="3" fontId="26" fillId="0" borderId="0" xfId="0" applyNumberFormat="1" applyFont="1" applyFill="1" applyBorder="1" applyAlignment="1"/>
    <xf numFmtId="3" fontId="27" fillId="0" borderId="2" xfId="0" applyNumberFormat="1" applyFont="1" applyFill="1" applyBorder="1" applyAlignment="1">
      <alignment horizontal="center" vertical="center" wrapText="1"/>
    </xf>
    <xf numFmtId="3" fontId="33" fillId="0" borderId="2" xfId="0" applyNumberFormat="1" applyFont="1" applyFill="1" applyBorder="1" applyAlignment="1">
      <alignment horizontal="center" vertical="center" wrapText="1"/>
    </xf>
    <xf numFmtId="3" fontId="119" fillId="0" borderId="7" xfId="0" applyNumberFormat="1" applyFont="1" applyFill="1" applyBorder="1" applyAlignment="1">
      <alignment horizontal="right" vertical="center"/>
    </xf>
    <xf numFmtId="3" fontId="33" fillId="0" borderId="7" xfId="0" applyNumberFormat="1" applyFont="1" applyFill="1" applyBorder="1" applyAlignment="1">
      <alignment horizontal="left" vertical="center" wrapText="1"/>
    </xf>
    <xf numFmtId="3" fontId="43" fillId="2" borderId="10" xfId="0" applyNumberFormat="1" applyFont="1" applyFill="1" applyBorder="1" applyAlignment="1">
      <alignment horizontal="center" vertical="center"/>
    </xf>
    <xf numFmtId="3" fontId="55" fillId="2" borderId="10" xfId="0" applyNumberFormat="1" applyFont="1" applyFill="1" applyBorder="1" applyAlignment="1">
      <alignment horizontal="left" vertical="center" wrapText="1"/>
    </xf>
    <xf numFmtId="3" fontId="118" fillId="0" borderId="10" xfId="0" applyNumberFormat="1" applyFont="1" applyFill="1" applyBorder="1" applyAlignment="1">
      <alignment horizontal="right" vertical="center" wrapText="1"/>
    </xf>
    <xf numFmtId="3" fontId="119" fillId="0" borderId="10" xfId="0" applyNumberFormat="1" applyFont="1" applyFill="1" applyBorder="1" applyAlignment="1">
      <alignment horizontal="right" vertical="center" wrapText="1"/>
    </xf>
    <xf numFmtId="3" fontId="164" fillId="0" borderId="10" xfId="0" applyNumberFormat="1" applyFont="1" applyFill="1" applyBorder="1" applyAlignment="1">
      <alignment horizontal="right" vertical="center" wrapText="1"/>
    </xf>
    <xf numFmtId="3" fontId="165" fillId="0" borderId="0" xfId="0" applyNumberFormat="1" applyFont="1" applyFill="1" applyBorder="1" applyAlignment="1">
      <alignment horizontal="right" vertical="center" wrapText="1"/>
    </xf>
    <xf numFmtId="3" fontId="22" fillId="0" borderId="10" xfId="0" applyNumberFormat="1" applyFont="1" applyFill="1" applyBorder="1" applyAlignment="1">
      <alignment horizontal="center" vertical="center" wrapText="1"/>
    </xf>
    <xf numFmtId="3" fontId="43" fillId="2" borderId="10" xfId="0" applyNumberFormat="1" applyFont="1" applyFill="1" applyBorder="1" applyAlignment="1">
      <alignment horizontal="left" vertical="center" wrapText="1"/>
    </xf>
    <xf numFmtId="3" fontId="22" fillId="0" borderId="2" xfId="0" applyNumberFormat="1" applyFont="1" applyFill="1" applyBorder="1" applyAlignment="1">
      <alignment horizontal="left" vertical="center" wrapText="1"/>
    </xf>
    <xf numFmtId="3" fontId="22" fillId="0" borderId="5" xfId="0" applyNumberFormat="1" applyFont="1" applyBorder="1" applyAlignment="1">
      <alignment vertical="center" wrapText="1"/>
    </xf>
    <xf numFmtId="3" fontId="22" fillId="0" borderId="11" xfId="0" applyNumberFormat="1" applyFont="1" applyBorder="1" applyAlignment="1">
      <alignment vertical="center" wrapText="1"/>
    </xf>
    <xf numFmtId="3" fontId="1" fillId="0" borderId="2" xfId="0" applyNumberFormat="1" applyFont="1" applyBorder="1" applyAlignment="1">
      <alignment horizontal="right"/>
    </xf>
    <xf numFmtId="3" fontId="43" fillId="0" borderId="0" xfId="0" applyNumberFormat="1" applyFont="1"/>
    <xf numFmtId="3" fontId="22" fillId="0" borderId="2" xfId="0" applyNumberFormat="1" applyFont="1" applyBorder="1" applyAlignment="1">
      <alignment horizontal="right" vertical="center"/>
    </xf>
    <xf numFmtId="3" fontId="190" fillId="0" borderId="1" xfId="1" applyNumberFormat="1" applyFont="1" applyFill="1" applyBorder="1"/>
    <xf numFmtId="3" fontId="26" fillId="0" borderId="0" xfId="0" applyNumberFormat="1" applyFont="1" applyFill="1" applyBorder="1" applyAlignment="1">
      <alignment horizontal="center" vertical="center" wrapText="1"/>
    </xf>
    <xf numFmtId="3" fontId="46" fillId="0" borderId="0" xfId="0" applyNumberFormat="1" applyFont="1" applyFill="1" applyBorder="1"/>
    <xf numFmtId="3" fontId="64" fillId="0" borderId="2" xfId="0" applyNumberFormat="1" applyFont="1" applyBorder="1" applyAlignment="1">
      <alignment horizontal="center"/>
    </xf>
    <xf numFmtId="165" fontId="64" fillId="0" borderId="2" xfId="2" applyNumberFormat="1" applyFont="1" applyBorder="1"/>
    <xf numFmtId="165" fontId="1" fillId="0" borderId="2" xfId="2" applyNumberFormat="1" applyFont="1" applyBorder="1"/>
    <xf numFmtId="165" fontId="66" fillId="0" borderId="2" xfId="2" applyNumberFormat="1" applyFont="1" applyBorder="1"/>
    <xf numFmtId="165" fontId="4" fillId="0" borderId="2" xfId="2" applyNumberFormat="1" applyFont="1" applyBorder="1"/>
    <xf numFmtId="3" fontId="22" fillId="0" borderId="0" xfId="0" applyNumberFormat="1" applyFont="1" applyAlignment="1">
      <alignment horizontal="center"/>
    </xf>
    <xf numFmtId="3" fontId="22" fillId="0" borderId="0" xfId="0" applyNumberFormat="1" applyFont="1" applyBorder="1" applyAlignment="1">
      <alignment horizontal="center"/>
    </xf>
    <xf numFmtId="3" fontId="4" fillId="0" borderId="2" xfId="0" applyNumberFormat="1" applyFont="1" applyBorder="1" applyAlignment="1">
      <alignment horizontal="right"/>
    </xf>
    <xf numFmtId="0" fontId="31" fillId="0" borderId="0" xfId="0" applyFont="1"/>
    <xf numFmtId="0" fontId="31" fillId="0" borderId="2" xfId="0" applyFont="1" applyBorder="1"/>
    <xf numFmtId="0" fontId="194" fillId="0" borderId="2" xfId="0" applyFont="1" applyBorder="1" applyAlignment="1">
      <alignment horizontal="center" vertical="center" wrapText="1"/>
    </xf>
    <xf numFmtId="0" fontId="31" fillId="0" borderId="2" xfId="0" applyFont="1" applyBorder="1" applyAlignment="1">
      <alignment horizontal="center"/>
    </xf>
    <xf numFmtId="0" fontId="24" fillId="0" borderId="2" xfId="0" applyFont="1" applyBorder="1" applyAlignment="1">
      <alignment horizontal="center"/>
    </xf>
    <xf numFmtId="3" fontId="31" fillId="0" borderId="2" xfId="0" applyNumberFormat="1" applyFont="1" applyBorder="1"/>
    <xf numFmtId="0" fontId="24" fillId="0" borderId="2" xfId="0" applyFont="1" applyBorder="1" applyAlignment="1">
      <alignment horizontal="left"/>
    </xf>
    <xf numFmtId="3" fontId="24" fillId="0" borderId="2" xfId="0" applyNumberFormat="1" applyFont="1" applyBorder="1"/>
    <xf numFmtId="0" fontId="24" fillId="0" borderId="2" xfId="0" applyFont="1" applyBorder="1"/>
    <xf numFmtId="0" fontId="31" fillId="0" borderId="2" xfId="0" applyFont="1" applyBorder="1" applyAlignment="1">
      <alignment wrapText="1"/>
    </xf>
    <xf numFmtId="0" fontId="31" fillId="0" borderId="10" xfId="0" applyFont="1" applyBorder="1" applyAlignment="1">
      <alignment wrapText="1"/>
    </xf>
    <xf numFmtId="0" fontId="83" fillId="0" borderId="2" xfId="0" applyNumberFormat="1" applyFont="1" applyBorder="1"/>
    <xf numFmtId="0" fontId="83" fillId="0" borderId="2" xfId="0" applyNumberFormat="1" applyFont="1" applyBorder="1" applyAlignment="1">
      <alignment horizontal="left"/>
    </xf>
    <xf numFmtId="0" fontId="83" fillId="0" borderId="2" xfId="0" applyFont="1" applyBorder="1" applyAlignment="1"/>
    <xf numFmtId="0" fontId="24" fillId="0" borderId="2" xfId="0" applyFont="1" applyBorder="1" applyAlignment="1">
      <alignment horizontal="center" vertical="center"/>
    </xf>
    <xf numFmtId="3" fontId="24" fillId="0" borderId="2" xfId="0" applyNumberFormat="1" applyFont="1" applyFill="1" applyBorder="1" applyAlignment="1">
      <alignment wrapText="1"/>
    </xf>
    <xf numFmtId="3" fontId="194" fillId="0" borderId="2" xfId="0" applyNumberFormat="1" applyFont="1" applyBorder="1"/>
    <xf numFmtId="0" fontId="85" fillId="0" borderId="2" xfId="0" applyFont="1" applyBorder="1"/>
    <xf numFmtId="3" fontId="85" fillId="0" borderId="2" xfId="0" applyNumberFormat="1" applyFont="1" applyBorder="1"/>
    <xf numFmtId="0" fontId="85" fillId="0" borderId="0" xfId="0" applyFont="1"/>
    <xf numFmtId="0" fontId="194" fillId="0" borderId="2" xfId="0" applyFont="1" applyBorder="1" applyAlignment="1">
      <alignment horizontal="center"/>
    </xf>
    <xf numFmtId="0" fontId="194" fillId="0" borderId="2" xfId="0" applyFont="1" applyBorder="1" applyAlignment="1">
      <alignment horizontal="left"/>
    </xf>
    <xf numFmtId="0" fontId="194" fillId="0" borderId="2" xfId="0" applyFont="1" applyBorder="1" applyAlignment="1">
      <alignment horizontal="center" vertical="center"/>
    </xf>
    <xf numFmtId="0" fontId="85" fillId="0" borderId="2" xfId="0" applyFont="1" applyBorder="1" applyAlignment="1">
      <alignment horizontal="center"/>
    </xf>
    <xf numFmtId="3" fontId="194" fillId="0" borderId="2" xfId="0" applyNumberFormat="1" applyFont="1" applyBorder="1" applyAlignment="1">
      <alignment horizontal="center" vertical="center"/>
    </xf>
    <xf numFmtId="0" fontId="194" fillId="0" borderId="0" xfId="0" applyFont="1" applyAlignment="1">
      <alignment horizontal="center" vertical="center" wrapText="1"/>
    </xf>
    <xf numFmtId="0" fontId="194" fillId="0" borderId="0" xfId="0" applyFont="1" applyAlignment="1">
      <alignment horizontal="center" vertical="center"/>
    </xf>
    <xf numFmtId="3" fontId="194" fillId="0" borderId="2" xfId="0" applyNumberFormat="1" applyFont="1" applyBorder="1" applyAlignment="1">
      <alignment horizontal="right" vertical="center"/>
    </xf>
    <xf numFmtId="0" fontId="22" fillId="0" borderId="2" xfId="0" applyFont="1" applyBorder="1" applyAlignment="1">
      <alignment horizontal="center" vertical="center" wrapText="1"/>
    </xf>
    <xf numFmtId="3" fontId="27" fillId="0" borderId="0" xfId="0" applyNumberFormat="1" applyFont="1" applyAlignment="1">
      <alignment horizontal="right"/>
    </xf>
    <xf numFmtId="3" fontId="85" fillId="0" borderId="2" xfId="0" applyNumberFormat="1" applyFont="1" applyBorder="1" applyAlignment="1">
      <alignment horizontal="center" vertical="center"/>
    </xf>
    <xf numFmtId="3" fontId="23" fillId="0" borderId="1" xfId="0" applyNumberFormat="1" applyFont="1" applyBorder="1" applyAlignment="1">
      <alignment vertical="center" wrapText="1"/>
    </xf>
    <xf numFmtId="3" fontId="24" fillId="0" borderId="0" xfId="0" applyNumberFormat="1" applyFont="1" applyAlignment="1">
      <alignment horizontal="center"/>
    </xf>
    <xf numFmtId="3" fontId="22" fillId="0" borderId="0" xfId="0" applyNumberFormat="1" applyFont="1" applyBorder="1" applyAlignment="1">
      <alignment horizontal="center"/>
    </xf>
    <xf numFmtId="3" fontId="22" fillId="0" borderId="2" xfId="0" applyNumberFormat="1" applyFont="1" applyBorder="1" applyAlignment="1">
      <alignment horizontal="center" vertical="center" wrapText="1"/>
    </xf>
    <xf numFmtId="3" fontId="23" fillId="0" borderId="0" xfId="0" applyNumberFormat="1" applyFont="1" applyAlignment="1">
      <alignment horizontal="center"/>
    </xf>
    <xf numFmtId="3" fontId="22" fillId="0" borderId="0" xfId="0" applyNumberFormat="1" applyFont="1" applyAlignment="1"/>
    <xf numFmtId="3" fontId="22" fillId="0" borderId="0" xfId="0" applyNumberFormat="1" applyFont="1" applyAlignment="1">
      <alignment horizontal="left"/>
    </xf>
    <xf numFmtId="3" fontId="26" fillId="0" borderId="0" xfId="0" applyNumberFormat="1" applyFont="1" applyAlignment="1">
      <alignment horizontal="center"/>
    </xf>
    <xf numFmtId="3" fontId="22" fillId="0" borderId="2" xfId="0" applyNumberFormat="1" applyFont="1" applyBorder="1" applyAlignment="1">
      <alignment horizontal="center" vertical="center" wrapText="1"/>
    </xf>
    <xf numFmtId="0" fontId="194" fillId="0" borderId="2" xfId="0" applyFont="1" applyBorder="1" applyAlignment="1">
      <alignment horizontal="center" vertical="center" wrapText="1"/>
    </xf>
    <xf numFmtId="3" fontId="23" fillId="0" borderId="2" xfId="0" applyNumberFormat="1" applyFont="1" applyBorder="1" applyAlignment="1">
      <alignment horizontal="right"/>
    </xf>
    <xf numFmtId="3" fontId="1" fillId="0" borderId="1" xfId="0" applyNumberFormat="1" applyFont="1" applyBorder="1" applyAlignment="1">
      <alignment horizontal="center"/>
    </xf>
    <xf numFmtId="3" fontId="1" fillId="0" borderId="7" xfId="0" applyNumberFormat="1" applyFont="1" applyBorder="1" applyAlignment="1">
      <alignment horizontal="center"/>
    </xf>
    <xf numFmtId="3" fontId="1" fillId="0" borderId="4" xfId="0" applyNumberFormat="1" applyFont="1" applyBorder="1" applyAlignment="1">
      <alignment horizontal="center"/>
    </xf>
    <xf numFmtId="3" fontId="43" fillId="0" borderId="7" xfId="0" applyNumberFormat="1" applyFont="1" applyBorder="1"/>
    <xf numFmtId="3" fontId="43" fillId="0" borderId="4" xfId="0" applyNumberFormat="1" applyFont="1" applyBorder="1"/>
    <xf numFmtId="3" fontId="98" fillId="0" borderId="2" xfId="0" applyNumberFormat="1" applyFont="1" applyBorder="1" applyAlignment="1">
      <alignment horizontal="center"/>
    </xf>
    <xf numFmtId="3" fontId="10" fillId="0" borderId="10" xfId="0" applyNumberFormat="1" applyFont="1" applyBorder="1"/>
    <xf numFmtId="3" fontId="98" fillId="0" borderId="3" xfId="0" applyNumberFormat="1" applyFont="1" applyBorder="1"/>
    <xf numFmtId="3" fontId="194" fillId="0" borderId="0" xfId="0" applyNumberFormat="1" applyFont="1" applyAlignment="1">
      <alignment horizontal="left" vertical="center"/>
    </xf>
    <xf numFmtId="3" fontId="85" fillId="0" borderId="0" xfId="0" applyNumberFormat="1" applyFont="1" applyAlignment="1">
      <alignment vertical="center" wrapText="1"/>
    </xf>
    <xf numFmtId="3" fontId="0" fillId="0" borderId="0" xfId="0" applyNumberFormat="1" applyAlignment="1">
      <alignment vertical="center" wrapText="1"/>
    </xf>
    <xf numFmtId="3" fontId="22" fillId="0" borderId="2" xfId="0" applyNumberFormat="1" applyFont="1" applyBorder="1" applyAlignment="1">
      <alignment vertical="center" wrapText="1"/>
    </xf>
    <xf numFmtId="3" fontId="22" fillId="0" borderId="0" xfId="0" applyNumberFormat="1" applyFont="1" applyAlignment="1">
      <alignment vertical="center" wrapText="1"/>
    </xf>
    <xf numFmtId="3" fontId="22" fillId="0" borderId="1" xfId="0" applyNumberFormat="1" applyFont="1" applyBorder="1" applyAlignment="1">
      <alignment horizontal="center" vertical="center" wrapText="1"/>
    </xf>
    <xf numFmtId="3" fontId="22" fillId="0" borderId="1" xfId="0" applyNumberFormat="1" applyFont="1" applyBorder="1" applyAlignment="1">
      <alignment vertical="center" wrapText="1"/>
    </xf>
    <xf numFmtId="170" fontId="0" fillId="0" borderId="0" xfId="0" applyNumberFormat="1" applyAlignment="1">
      <alignment vertical="center" wrapText="1"/>
    </xf>
    <xf numFmtId="3" fontId="195" fillId="0" borderId="0" xfId="0" applyNumberFormat="1" applyFont="1" applyAlignment="1">
      <alignment vertical="center" wrapText="1"/>
    </xf>
    <xf numFmtId="3" fontId="194" fillId="0" borderId="0" xfId="0" applyNumberFormat="1" applyFont="1" applyAlignment="1">
      <alignment vertical="center" wrapText="1"/>
    </xf>
    <xf numFmtId="3" fontId="23" fillId="0" borderId="7" xfId="0" applyNumberFormat="1" applyFont="1" applyBorder="1" applyAlignment="1">
      <alignment horizontal="center" vertical="center" wrapText="1"/>
    </xf>
    <xf numFmtId="3" fontId="23" fillId="0" borderId="7" xfId="0" applyNumberFormat="1" applyFont="1" applyBorder="1" applyAlignment="1">
      <alignment vertical="center" wrapText="1"/>
    </xf>
    <xf numFmtId="3" fontId="23" fillId="0" borderId="10" xfId="0" applyNumberFormat="1" applyFont="1" applyBorder="1" applyAlignment="1">
      <alignment vertical="center" wrapText="1"/>
    </xf>
    <xf numFmtId="3" fontId="23" fillId="0" borderId="1" xfId="0" applyNumberFormat="1" applyFont="1" applyBorder="1" applyAlignment="1">
      <alignment horizontal="center" vertical="center" wrapText="1"/>
    </xf>
    <xf numFmtId="3" fontId="23" fillId="0" borderId="4" xfId="0" applyNumberFormat="1" applyFont="1" applyBorder="1" applyAlignment="1">
      <alignment horizontal="center" vertical="center" wrapText="1"/>
    </xf>
    <xf numFmtId="3" fontId="23" fillId="0" borderId="4" xfId="0" applyNumberFormat="1" applyFont="1" applyBorder="1" applyAlignment="1">
      <alignment vertical="center" wrapText="1"/>
    </xf>
    <xf numFmtId="3" fontId="23" fillId="0" borderId="11" xfId="0" applyNumberFormat="1" applyFont="1" applyBorder="1" applyAlignment="1">
      <alignment vertical="center" wrapText="1"/>
    </xf>
    <xf numFmtId="3" fontId="1" fillId="0" borderId="2" xfId="0" applyNumberFormat="1" applyFont="1" applyBorder="1" applyAlignment="1">
      <alignment horizontal="center" vertical="center"/>
    </xf>
    <xf numFmtId="3" fontId="4" fillId="0" borderId="2" xfId="0" applyNumberFormat="1" applyFont="1" applyBorder="1" applyAlignment="1">
      <alignment horizontal="center" vertical="center"/>
    </xf>
    <xf numFmtId="3" fontId="22" fillId="0" borderId="2" xfId="0" applyNumberFormat="1" applyFont="1" applyBorder="1" applyAlignment="1">
      <alignment horizontal="left" vertical="center"/>
    </xf>
    <xf numFmtId="3" fontId="4" fillId="0" borderId="2" xfId="0" applyNumberFormat="1" applyFont="1" applyBorder="1" applyAlignment="1">
      <alignment vertical="center"/>
    </xf>
    <xf numFmtId="3" fontId="4" fillId="0" borderId="2" xfId="0" applyNumberFormat="1" applyFont="1" applyBorder="1" applyAlignment="1"/>
    <xf numFmtId="3" fontId="85" fillId="0" borderId="2" xfId="0" applyNumberFormat="1" applyFont="1" applyBorder="1" applyAlignment="1">
      <alignment horizontal="center"/>
    </xf>
    <xf numFmtId="3" fontId="85" fillId="0" borderId="2" xfId="0" applyNumberFormat="1" applyFont="1" applyBorder="1" applyAlignment="1">
      <alignment horizontal="right"/>
    </xf>
    <xf numFmtId="3" fontId="11" fillId="0" borderId="1" xfId="0" applyNumberFormat="1" applyFont="1" applyBorder="1"/>
    <xf numFmtId="3" fontId="22" fillId="0" borderId="0" xfId="0" applyNumberFormat="1" applyFont="1" applyBorder="1" applyAlignment="1">
      <alignment horizontal="center"/>
    </xf>
    <xf numFmtId="3" fontId="22" fillId="0" borderId="0" xfId="0" applyNumberFormat="1" applyFont="1" applyAlignment="1">
      <alignment horizontal="center"/>
    </xf>
    <xf numFmtId="3" fontId="24" fillId="0" borderId="0" xfId="0" applyNumberFormat="1" applyFont="1" applyAlignment="1">
      <alignment horizontal="center"/>
    </xf>
    <xf numFmtId="3" fontId="25" fillId="0" borderId="12" xfId="0" applyNumberFormat="1" applyFont="1" applyBorder="1" applyAlignment="1">
      <alignment horizontal="right"/>
    </xf>
    <xf numFmtId="3" fontId="22" fillId="0" borderId="5" xfId="0" applyNumberFormat="1" applyFont="1" applyBorder="1" applyAlignment="1">
      <alignment horizontal="center" vertical="center" wrapText="1"/>
    </xf>
    <xf numFmtId="3" fontId="22" fillId="0" borderId="11" xfId="0" applyNumberFormat="1" applyFont="1" applyBorder="1" applyAlignment="1">
      <alignment horizontal="center" vertical="center" wrapText="1"/>
    </xf>
    <xf numFmtId="3" fontId="26" fillId="0" borderId="5" xfId="0" applyNumberFormat="1" applyFont="1" applyBorder="1" applyAlignment="1">
      <alignment horizontal="center" vertical="center" wrapText="1"/>
    </xf>
    <xf numFmtId="3" fontId="26" fillId="0" borderId="11" xfId="0" applyNumberFormat="1" applyFont="1" applyBorder="1" applyAlignment="1">
      <alignment horizontal="center" vertical="center" wrapText="1"/>
    </xf>
    <xf numFmtId="3" fontId="22" fillId="0" borderId="2" xfId="0" applyNumberFormat="1" applyFont="1" applyBorder="1" applyAlignment="1">
      <alignment horizontal="center" vertical="center"/>
    </xf>
    <xf numFmtId="3" fontId="22" fillId="0" borderId="11" xfId="0" applyNumberFormat="1" applyFont="1" applyBorder="1" applyAlignment="1">
      <alignment horizontal="center" vertical="center"/>
    </xf>
    <xf numFmtId="3" fontId="194" fillId="0" borderId="0" xfId="0" applyNumberFormat="1" applyFont="1" applyAlignment="1">
      <alignment horizontal="center" wrapText="1"/>
    </xf>
    <xf numFmtId="3" fontId="194" fillId="0" borderId="0" xfId="0" applyNumberFormat="1" applyFont="1" applyAlignment="1">
      <alignment horizontal="center"/>
    </xf>
    <xf numFmtId="3" fontId="27" fillId="0" borderId="0" xfId="0" applyNumberFormat="1" applyFont="1" applyAlignment="1">
      <alignment horizontal="center"/>
    </xf>
    <xf numFmtId="3" fontId="22" fillId="0" borderId="0" xfId="0" applyNumberFormat="1" applyFont="1" applyAlignment="1">
      <alignment horizontal="center" vertical="center"/>
    </xf>
    <xf numFmtId="3" fontId="4" fillId="0" borderId="2" xfId="0" applyNumberFormat="1" applyFont="1" applyBorder="1" applyAlignment="1">
      <alignment horizontal="center" vertical="center" wrapText="1"/>
    </xf>
    <xf numFmtId="3" fontId="4" fillId="0" borderId="5" xfId="0" applyNumberFormat="1" applyFont="1" applyBorder="1" applyAlignment="1">
      <alignment horizontal="center" vertical="center" wrapText="1"/>
    </xf>
    <xf numFmtId="3" fontId="4" fillId="0" borderId="11" xfId="0" applyNumberFormat="1" applyFont="1" applyBorder="1" applyAlignment="1">
      <alignment horizontal="center" vertical="center" wrapText="1"/>
    </xf>
    <xf numFmtId="3" fontId="22" fillId="0" borderId="9" xfId="0" applyNumberFormat="1" applyFont="1" applyBorder="1" applyAlignment="1">
      <alignment horizontal="center" vertical="center" wrapText="1"/>
    </xf>
    <xf numFmtId="3" fontId="22" fillId="0" borderId="13" xfId="0" applyNumberFormat="1" applyFont="1" applyBorder="1" applyAlignment="1">
      <alignment horizontal="center" vertical="center" wrapText="1"/>
    </xf>
    <xf numFmtId="3" fontId="22" fillId="0" borderId="14" xfId="0" applyNumberFormat="1" applyFont="1" applyBorder="1" applyAlignment="1">
      <alignment horizontal="center" vertical="center" wrapText="1"/>
    </xf>
    <xf numFmtId="169" fontId="25" fillId="0" borderId="12" xfId="0" applyNumberFormat="1" applyFont="1" applyBorder="1" applyAlignment="1">
      <alignment horizontal="right"/>
    </xf>
    <xf numFmtId="3" fontId="1" fillId="0" borderId="5" xfId="0" applyNumberFormat="1" applyFont="1" applyBorder="1" applyAlignment="1">
      <alignment horizontal="center" vertical="center" wrapText="1"/>
    </xf>
    <xf numFmtId="3" fontId="0" fillId="0" borderId="11" xfId="0" applyNumberFormat="1" applyBorder="1" applyAlignment="1">
      <alignment horizontal="center" vertical="center" wrapText="1"/>
    </xf>
    <xf numFmtId="3" fontId="12" fillId="0" borderId="0" xfId="0" applyNumberFormat="1" applyFont="1" applyAlignment="1">
      <alignment horizontal="center"/>
    </xf>
    <xf numFmtId="3" fontId="25" fillId="0" borderId="0" xfId="0" applyNumberFormat="1" applyFont="1" applyBorder="1" applyAlignment="1">
      <alignment horizontal="center"/>
    </xf>
    <xf numFmtId="3" fontId="4" fillId="0" borderId="9" xfId="0" applyNumberFormat="1" applyFont="1" applyBorder="1" applyAlignment="1">
      <alignment horizontal="center" vertical="center" wrapText="1"/>
    </xf>
    <xf numFmtId="3" fontId="4" fillId="0" borderId="13" xfId="0" applyNumberFormat="1" applyFont="1" applyBorder="1" applyAlignment="1">
      <alignment horizontal="center" vertical="center" wrapText="1"/>
    </xf>
    <xf numFmtId="3" fontId="4" fillId="0" borderId="14" xfId="0" applyNumberFormat="1" applyFont="1" applyBorder="1" applyAlignment="1">
      <alignment horizontal="center" vertical="center" wrapText="1"/>
    </xf>
    <xf numFmtId="3" fontId="155" fillId="0" borderId="2" xfId="0" applyNumberFormat="1" applyFont="1" applyBorder="1" applyAlignment="1">
      <alignment horizontal="center" vertical="center" wrapText="1"/>
    </xf>
    <xf numFmtId="3" fontId="155" fillId="0" borderId="9" xfId="0" applyNumberFormat="1" applyFont="1" applyBorder="1" applyAlignment="1">
      <alignment horizontal="center" vertical="center" wrapText="1"/>
    </xf>
    <xf numFmtId="3" fontId="155" fillId="0" borderId="13" xfId="0" applyNumberFormat="1" applyFont="1" applyBorder="1" applyAlignment="1">
      <alignment horizontal="center" vertical="center" wrapText="1"/>
    </xf>
    <xf numFmtId="3" fontId="155" fillId="0" borderId="14" xfId="0" applyNumberFormat="1" applyFont="1" applyBorder="1" applyAlignment="1">
      <alignment horizontal="center" vertical="center" wrapText="1"/>
    </xf>
    <xf numFmtId="3" fontId="110" fillId="0" borderId="9" xfId="0" applyNumberFormat="1" applyFont="1" applyBorder="1" applyAlignment="1">
      <alignment horizontal="center" vertical="center" wrapText="1"/>
    </xf>
    <xf numFmtId="3" fontId="110" fillId="0" borderId="13" xfId="0" applyNumberFormat="1" applyFont="1" applyBorder="1" applyAlignment="1">
      <alignment horizontal="center" vertical="center" wrapText="1"/>
    </xf>
    <xf numFmtId="3" fontId="110" fillId="0" borderId="14" xfId="0" applyNumberFormat="1" applyFont="1" applyBorder="1" applyAlignment="1">
      <alignment horizontal="center" vertical="center" wrapText="1"/>
    </xf>
    <xf numFmtId="3" fontId="27" fillId="0" borderId="2" xfId="0" applyNumberFormat="1" applyFont="1" applyBorder="1" applyAlignment="1">
      <alignment horizontal="center" vertical="center" wrapText="1"/>
    </xf>
    <xf numFmtId="3" fontId="14" fillId="0" borderId="2" xfId="0" applyNumberFormat="1" applyFont="1" applyBorder="1" applyAlignment="1">
      <alignment horizontal="center" vertical="center" wrapText="1"/>
    </xf>
    <xf numFmtId="3" fontId="26" fillId="0" borderId="15" xfId="0" applyNumberFormat="1" applyFont="1" applyBorder="1" applyAlignment="1">
      <alignment horizontal="center" vertical="center" wrapText="1"/>
    </xf>
    <xf numFmtId="3" fontId="22" fillId="0" borderId="2" xfId="0" applyNumberFormat="1" applyFont="1" applyBorder="1" applyAlignment="1">
      <alignment horizontal="center" vertical="center" wrapText="1"/>
    </xf>
    <xf numFmtId="3" fontId="23" fillId="0" borderId="0" xfId="0" applyNumberFormat="1" applyFont="1" applyAlignment="1">
      <alignment horizontal="center"/>
    </xf>
    <xf numFmtId="3" fontId="24" fillId="0" borderId="0" xfId="0" applyNumberFormat="1" applyFont="1" applyAlignment="1">
      <alignment horizontal="center" vertical="center"/>
    </xf>
    <xf numFmtId="3" fontId="30" fillId="0" borderId="12" xfId="0" applyNumberFormat="1" applyFont="1" applyBorder="1" applyAlignment="1">
      <alignment horizontal="right"/>
    </xf>
    <xf numFmtId="3" fontId="25" fillId="0" borderId="0" xfId="0" applyNumberFormat="1" applyFont="1" applyBorder="1" applyAlignment="1">
      <alignment horizontal="right"/>
    </xf>
    <xf numFmtId="3" fontId="30" fillId="0" borderId="8" xfId="0" applyNumberFormat="1" applyFont="1" applyBorder="1" applyAlignment="1">
      <alignment horizontal="right"/>
    </xf>
    <xf numFmtId="3" fontId="27" fillId="0" borderId="0" xfId="0" applyNumberFormat="1" applyFont="1" applyAlignment="1">
      <alignment horizontal="center" vertical="center" wrapText="1"/>
    </xf>
    <xf numFmtId="3" fontId="22" fillId="0" borderId="0" xfId="0" applyNumberFormat="1" applyFont="1" applyAlignment="1">
      <alignment horizontal="left" vertical="center" wrapText="1"/>
    </xf>
    <xf numFmtId="3" fontId="194" fillId="0" borderId="0" xfId="0" applyNumberFormat="1" applyFont="1" applyAlignment="1">
      <alignment horizontal="center" vertical="center"/>
    </xf>
    <xf numFmtId="3" fontId="25" fillId="0" borderId="0" xfId="0" applyNumberFormat="1" applyFont="1" applyAlignment="1">
      <alignment horizontal="center" vertical="center" wrapText="1"/>
    </xf>
    <xf numFmtId="3" fontId="195" fillId="0" borderId="0" xfId="0" applyNumberFormat="1" applyFont="1" applyAlignment="1">
      <alignment horizontal="right" vertical="center" wrapText="1"/>
    </xf>
    <xf numFmtId="3" fontId="194" fillId="0" borderId="0" xfId="0" applyNumberFormat="1" applyFont="1" applyAlignment="1">
      <alignment horizontal="center" vertical="center" wrapText="1"/>
    </xf>
    <xf numFmtId="3" fontId="22" fillId="0" borderId="0" xfId="0" applyNumberFormat="1" applyFont="1" applyAlignment="1">
      <alignment horizontal="center" vertical="center" wrapText="1"/>
    </xf>
    <xf numFmtId="3" fontId="22" fillId="0" borderId="0" xfId="0" applyNumberFormat="1" applyFont="1" applyAlignment="1"/>
    <xf numFmtId="3" fontId="22" fillId="0" borderId="0" xfId="0" applyNumberFormat="1" applyFont="1" applyAlignment="1">
      <alignment horizontal="left"/>
    </xf>
    <xf numFmtId="0" fontId="194" fillId="0" borderId="5" xfId="0" applyFont="1" applyBorder="1" applyAlignment="1">
      <alignment horizontal="center" vertical="center" wrapText="1"/>
    </xf>
    <xf numFmtId="0" fontId="194" fillId="0" borderId="11" xfId="0" applyFont="1" applyBorder="1" applyAlignment="1">
      <alignment horizontal="center" vertical="center"/>
    </xf>
    <xf numFmtId="0" fontId="24" fillId="0" borderId="0" xfId="0" applyFont="1" applyAlignment="1">
      <alignment horizontal="center"/>
    </xf>
    <xf numFmtId="0" fontId="194" fillId="0" borderId="0" xfId="0" applyFont="1" applyAlignment="1">
      <alignment horizontal="left"/>
    </xf>
    <xf numFmtId="0" fontId="22" fillId="0" borderId="0" xfId="0" applyFont="1" applyAlignment="1">
      <alignment horizontal="center"/>
    </xf>
    <xf numFmtId="0" fontId="25" fillId="0" borderId="12" xfId="0" applyFont="1" applyBorder="1" applyAlignment="1">
      <alignment horizontal="right"/>
    </xf>
    <xf numFmtId="0" fontId="194" fillId="0" borderId="2" xfId="0" applyFont="1" applyBorder="1" applyAlignment="1">
      <alignment horizontal="center" vertical="center" wrapText="1"/>
    </xf>
    <xf numFmtId="0" fontId="194" fillId="0" borderId="2" xfId="0" applyFont="1" applyBorder="1" applyAlignment="1">
      <alignment horizontal="center" vertical="center"/>
    </xf>
    <xf numFmtId="0" fontId="194" fillId="0" borderId="9" xfId="0" applyFont="1" applyBorder="1" applyAlignment="1">
      <alignment horizontal="center" vertical="center" wrapText="1"/>
    </xf>
    <xf numFmtId="0" fontId="194" fillId="0" borderId="14" xfId="0" applyFont="1" applyBorder="1" applyAlignment="1">
      <alignment horizontal="center" vertical="center" wrapText="1"/>
    </xf>
    <xf numFmtId="0" fontId="194" fillId="0" borderId="11" xfId="0" applyFont="1" applyBorder="1" applyAlignment="1">
      <alignment horizontal="center" vertical="center" wrapText="1"/>
    </xf>
    <xf numFmtId="0" fontId="194" fillId="0" borderId="0" xfId="0" applyFont="1" applyAlignment="1">
      <alignment horizontal="center" vertical="center" wrapText="1"/>
    </xf>
    <xf numFmtId="0" fontId="194" fillId="0" borderId="0" xfId="0" applyFont="1" applyAlignment="1">
      <alignment horizontal="center" vertical="center"/>
    </xf>
    <xf numFmtId="0" fontId="22" fillId="0" borderId="2" xfId="0" applyFont="1" applyBorder="1" applyAlignment="1">
      <alignment horizontal="center" vertical="center" wrapText="1"/>
    </xf>
    <xf numFmtId="0" fontId="22" fillId="0" borderId="2" xfId="0" applyFont="1" applyBorder="1" applyAlignment="1">
      <alignment horizontal="center" vertical="center"/>
    </xf>
    <xf numFmtId="0" fontId="24" fillId="0" borderId="0" xfId="0" applyFont="1" applyAlignment="1">
      <alignment horizontal="center" vertical="center" wrapText="1"/>
    </xf>
    <xf numFmtId="0" fontId="22" fillId="0" borderId="0" xfId="0" applyFont="1" applyAlignment="1">
      <alignment horizontal="right"/>
    </xf>
    <xf numFmtId="3" fontId="22" fillId="0" borderId="5" xfId="0" applyNumberFormat="1" applyFont="1" applyBorder="1" applyAlignment="1">
      <alignment horizontal="center" vertical="center"/>
    </xf>
    <xf numFmtId="3" fontId="25" fillId="0" borderId="8" xfId="0" applyNumberFormat="1" applyFont="1" applyBorder="1" applyAlignment="1">
      <alignment horizontal="right"/>
    </xf>
    <xf numFmtId="3" fontId="26" fillId="0" borderId="2" xfId="0" applyNumberFormat="1" applyFont="1" applyFill="1" applyBorder="1" applyAlignment="1">
      <alignment horizontal="center" vertical="center" wrapText="1"/>
    </xf>
    <xf numFmtId="3" fontId="15" fillId="0" borderId="2" xfId="0" applyNumberFormat="1" applyFont="1" applyFill="1" applyBorder="1" applyAlignment="1">
      <alignment horizontal="center" vertical="center" wrapText="1"/>
    </xf>
    <xf numFmtId="3" fontId="15" fillId="0" borderId="5" xfId="0" applyNumberFormat="1" applyFont="1" applyFill="1" applyBorder="1" applyAlignment="1">
      <alignment horizontal="center" vertical="center" wrapText="1"/>
    </xf>
    <xf numFmtId="3" fontId="15" fillId="0" borderId="11" xfId="0" applyNumberFormat="1" applyFont="1" applyFill="1" applyBorder="1" applyAlignment="1">
      <alignment horizontal="center" vertical="center" wrapText="1"/>
    </xf>
    <xf numFmtId="3" fontId="7" fillId="0" borderId="0" xfId="0" applyNumberFormat="1" applyFont="1" applyFill="1" applyAlignment="1">
      <alignment horizontal="center"/>
    </xf>
    <xf numFmtId="3" fontId="30" fillId="0" borderId="12" xfId="0" applyNumberFormat="1" applyFont="1" applyFill="1" applyBorder="1" applyAlignment="1">
      <alignment horizontal="right"/>
    </xf>
    <xf numFmtId="3" fontId="15" fillId="0" borderId="16" xfId="0" applyNumberFormat="1" applyFont="1" applyFill="1" applyBorder="1" applyAlignment="1">
      <alignment horizontal="center" vertical="center" wrapText="1"/>
    </xf>
    <xf numFmtId="3" fontId="15" fillId="0" borderId="8" xfId="0" applyNumberFormat="1" applyFont="1" applyFill="1" applyBorder="1" applyAlignment="1">
      <alignment horizontal="center" vertical="center" wrapText="1"/>
    </xf>
    <xf numFmtId="3" fontId="15" fillId="0" borderId="17" xfId="0" applyNumberFormat="1" applyFont="1" applyFill="1" applyBorder="1" applyAlignment="1">
      <alignment horizontal="center" vertical="center" wrapText="1"/>
    </xf>
    <xf numFmtId="3" fontId="15" fillId="0" borderId="9" xfId="0" applyNumberFormat="1" applyFont="1" applyFill="1" applyBorder="1" applyAlignment="1">
      <alignment horizontal="center" vertical="center" wrapText="1"/>
    </xf>
    <xf numFmtId="3" fontId="15" fillId="0" borderId="13" xfId="0" applyNumberFormat="1" applyFont="1" applyFill="1" applyBorder="1" applyAlignment="1">
      <alignment horizontal="center" vertical="center" wrapText="1"/>
    </xf>
    <xf numFmtId="3" fontId="15" fillId="0" borderId="14" xfId="0" applyNumberFormat="1" applyFont="1" applyFill="1" applyBorder="1" applyAlignment="1">
      <alignment horizontal="center" vertical="center" wrapText="1"/>
    </xf>
    <xf numFmtId="3" fontId="30" fillId="0" borderId="0" xfId="0" applyNumberFormat="1" applyFont="1" applyFill="1" applyAlignment="1">
      <alignment horizontal="center"/>
    </xf>
    <xf numFmtId="3" fontId="26" fillId="0" borderId="0" xfId="0" applyNumberFormat="1" applyFont="1" applyFill="1" applyAlignment="1">
      <alignment horizontal="center"/>
    </xf>
    <xf numFmtId="3" fontId="26" fillId="0" borderId="5" xfId="0" applyNumberFormat="1" applyFont="1" applyFill="1" applyBorder="1" applyAlignment="1">
      <alignment horizontal="center" vertical="center" wrapText="1"/>
    </xf>
    <xf numFmtId="3" fontId="26" fillId="0" borderId="11" xfId="0" applyNumberFormat="1" applyFont="1" applyFill="1" applyBorder="1" applyAlignment="1">
      <alignment horizontal="center" vertical="center" wrapText="1"/>
    </xf>
    <xf numFmtId="3" fontId="26" fillId="0" borderId="0" xfId="0" applyNumberFormat="1" applyFont="1" applyFill="1" applyAlignment="1">
      <alignment horizontal="left"/>
    </xf>
    <xf numFmtId="3" fontId="26" fillId="0" borderId="9" xfId="0" applyNumberFormat="1" applyFont="1" applyFill="1" applyBorder="1" applyAlignment="1">
      <alignment horizontal="center" vertical="center" wrapText="1"/>
    </xf>
    <xf numFmtId="3" fontId="26" fillId="0" borderId="14" xfId="0" applyNumberFormat="1" applyFont="1" applyFill="1" applyBorder="1" applyAlignment="1">
      <alignment horizontal="center" vertical="center" wrapText="1"/>
    </xf>
    <xf numFmtId="3" fontId="30" fillId="0" borderId="0" xfId="0" applyNumberFormat="1" applyFont="1" applyFill="1" applyBorder="1" applyAlignment="1">
      <alignment horizontal="right"/>
    </xf>
    <xf numFmtId="3" fontId="26" fillId="0" borderId="13" xfId="0" applyNumberFormat="1" applyFont="1" applyFill="1" applyBorder="1" applyAlignment="1">
      <alignment horizontal="center" vertical="center" wrapText="1"/>
    </xf>
    <xf numFmtId="3" fontId="41" fillId="0" borderId="9" xfId="0" applyNumberFormat="1" applyFont="1" applyFill="1" applyBorder="1" applyAlignment="1">
      <alignment horizontal="center" vertical="center" wrapText="1"/>
    </xf>
    <xf numFmtId="3" fontId="41" fillId="0" borderId="13" xfId="0" applyNumberFormat="1" applyFont="1" applyFill="1" applyBorder="1" applyAlignment="1">
      <alignment horizontal="center" vertical="center" wrapText="1"/>
    </xf>
    <xf numFmtId="3" fontId="14" fillId="0" borderId="5" xfId="0" applyNumberFormat="1" applyFont="1" applyFill="1" applyBorder="1" applyAlignment="1">
      <alignment horizontal="center" vertical="center" wrapText="1"/>
    </xf>
    <xf numFmtId="3" fontId="14" fillId="0" borderId="11" xfId="0" applyNumberFormat="1" applyFont="1" applyFill="1" applyBorder="1" applyAlignment="1">
      <alignment horizontal="center" vertical="center" wrapText="1"/>
    </xf>
    <xf numFmtId="3" fontId="26" fillId="0" borderId="0" xfId="0" applyNumberFormat="1" applyFont="1" applyFill="1" applyAlignment="1">
      <alignment horizontal="center" vertical="center"/>
    </xf>
    <xf numFmtId="3" fontId="25" fillId="0" borderId="12" xfId="0" applyNumberFormat="1" applyFont="1" applyFill="1" applyBorder="1" applyAlignment="1">
      <alignment horizontal="center"/>
    </xf>
    <xf numFmtId="3" fontId="30" fillId="0" borderId="12" xfId="0" applyNumberFormat="1" applyFont="1" applyFill="1" applyBorder="1" applyAlignment="1">
      <alignment horizontal="center"/>
    </xf>
    <xf numFmtId="3" fontId="11" fillId="0" borderId="5" xfId="0" applyNumberFormat="1" applyFont="1" applyFill="1" applyBorder="1" applyAlignment="1">
      <alignment horizontal="center" vertical="center" wrapText="1"/>
    </xf>
    <xf numFmtId="3" fontId="11" fillId="0" borderId="11" xfId="0" applyNumberFormat="1" applyFont="1" applyFill="1" applyBorder="1" applyAlignment="1">
      <alignment horizontal="center" vertical="center" wrapText="1"/>
    </xf>
    <xf numFmtId="3" fontId="27" fillId="0" borderId="5" xfId="0" applyNumberFormat="1" applyFont="1" applyFill="1" applyBorder="1" applyAlignment="1">
      <alignment horizontal="center" vertical="center" wrapText="1"/>
    </xf>
    <xf numFmtId="3" fontId="27" fillId="0" borderId="11" xfId="0" applyNumberFormat="1" applyFont="1" applyFill="1" applyBorder="1" applyAlignment="1">
      <alignment horizontal="center" vertical="center" wrapText="1"/>
    </xf>
    <xf numFmtId="3" fontId="106" fillId="0" borderId="9" xfId="0" applyNumberFormat="1" applyFont="1" applyFill="1" applyBorder="1" applyAlignment="1">
      <alignment horizontal="center" vertical="center" wrapText="1"/>
    </xf>
    <xf numFmtId="3" fontId="106" fillId="0" borderId="13" xfId="0" applyNumberFormat="1" applyFont="1" applyFill="1" applyBorder="1" applyAlignment="1">
      <alignment horizontal="center" vertical="center" wrapText="1"/>
    </xf>
    <xf numFmtId="3" fontId="27" fillId="0" borderId="0" xfId="0" applyNumberFormat="1" applyFont="1" applyFill="1" applyBorder="1" applyAlignment="1">
      <alignment horizontal="center"/>
    </xf>
    <xf numFmtId="3" fontId="33" fillId="0" borderId="5" xfId="0" applyNumberFormat="1" applyFont="1" applyFill="1" applyBorder="1" applyAlignment="1">
      <alignment horizontal="center" vertical="center" wrapText="1"/>
    </xf>
    <xf numFmtId="3" fontId="33" fillId="0" borderId="11" xfId="0" applyNumberFormat="1" applyFont="1" applyFill="1" applyBorder="1" applyAlignment="1">
      <alignment horizontal="center" vertical="center" wrapText="1"/>
    </xf>
    <xf numFmtId="3" fontId="26" fillId="0" borderId="0" xfId="0" applyNumberFormat="1" applyFont="1" applyFill="1" applyBorder="1" applyAlignment="1">
      <alignment horizontal="center"/>
    </xf>
    <xf numFmtId="3" fontId="26" fillId="0" borderId="0" xfId="0" applyNumberFormat="1" applyFont="1" applyFill="1" applyBorder="1" applyAlignment="1"/>
    <xf numFmtId="3" fontId="37" fillId="0" borderId="0" xfId="0" applyNumberFormat="1" applyFont="1" applyFill="1" applyBorder="1" applyAlignment="1">
      <alignment horizontal="center"/>
    </xf>
    <xf numFmtId="3" fontId="23" fillId="0" borderId="5" xfId="0" applyNumberFormat="1" applyFont="1" applyFill="1" applyBorder="1" applyAlignment="1">
      <alignment horizontal="center" vertical="center" wrapText="1"/>
    </xf>
    <xf numFmtId="3" fontId="23" fillId="0" borderId="10" xfId="0" applyNumberFormat="1" applyFont="1" applyFill="1" applyBorder="1" applyAlignment="1">
      <alignment horizontal="center" vertical="center" wrapText="1"/>
    </xf>
    <xf numFmtId="3" fontId="23" fillId="0" borderId="11" xfId="0" applyNumberFormat="1" applyFont="1" applyFill="1" applyBorder="1" applyAlignment="1">
      <alignment horizontal="center" vertical="center" wrapText="1"/>
    </xf>
    <xf numFmtId="3" fontId="22" fillId="0" borderId="5" xfId="0" applyNumberFormat="1" applyFont="1" applyFill="1" applyBorder="1" applyAlignment="1">
      <alignment horizontal="center" vertical="center" wrapText="1"/>
    </xf>
    <xf numFmtId="3" fontId="22" fillId="0" borderId="10" xfId="0" applyNumberFormat="1" applyFont="1" applyFill="1" applyBorder="1" applyAlignment="1">
      <alignment horizontal="center" vertical="center" wrapText="1"/>
    </xf>
    <xf numFmtId="3" fontId="22" fillId="0" borderId="11" xfId="0" applyNumberFormat="1" applyFont="1" applyFill="1" applyBorder="1" applyAlignment="1">
      <alignment horizontal="center" vertical="center" wrapText="1"/>
    </xf>
    <xf numFmtId="3" fontId="41" fillId="0" borderId="14" xfId="0" applyNumberFormat="1" applyFont="1" applyFill="1" applyBorder="1" applyAlignment="1">
      <alignment horizontal="center" vertical="center" wrapText="1"/>
    </xf>
    <xf numFmtId="3" fontId="27" fillId="0" borderId="10" xfId="0" applyNumberFormat="1" applyFont="1" applyFill="1" applyBorder="1" applyAlignment="1">
      <alignment horizontal="center" vertical="center" wrapText="1"/>
    </xf>
    <xf numFmtId="3" fontId="27" fillId="0" borderId="9" xfId="0" applyNumberFormat="1" applyFont="1" applyFill="1" applyBorder="1" applyAlignment="1">
      <alignment horizontal="center" vertical="center" wrapText="1"/>
    </xf>
    <xf numFmtId="3" fontId="27" fillId="0" borderId="13" xfId="0" applyNumberFormat="1" applyFont="1" applyFill="1" applyBorder="1" applyAlignment="1">
      <alignment horizontal="center" vertical="center" wrapText="1"/>
    </xf>
    <xf numFmtId="3" fontId="27" fillId="0" borderId="14" xfId="0" applyNumberFormat="1" applyFont="1" applyFill="1" applyBorder="1" applyAlignment="1">
      <alignment horizontal="center" vertical="center" wrapText="1"/>
    </xf>
    <xf numFmtId="3" fontId="33" fillId="0" borderId="10" xfId="0" applyNumberFormat="1" applyFont="1" applyFill="1" applyBorder="1" applyAlignment="1">
      <alignment horizontal="center" vertical="center" wrapText="1"/>
    </xf>
    <xf numFmtId="3" fontId="23" fillId="0" borderId="2" xfId="0" applyNumberFormat="1" applyFont="1" applyFill="1" applyBorder="1" applyAlignment="1">
      <alignment horizontal="center" vertical="center" wrapText="1"/>
    </xf>
    <xf numFmtId="3" fontId="22" fillId="0" borderId="2" xfId="0" applyNumberFormat="1" applyFont="1" applyFill="1" applyBorder="1" applyAlignment="1">
      <alignment horizontal="center" vertical="center" wrapText="1"/>
    </xf>
    <xf numFmtId="3" fontId="27" fillId="0" borderId="2" xfId="0" applyNumberFormat="1" applyFont="1" applyFill="1" applyBorder="1" applyAlignment="1">
      <alignment horizontal="center" vertical="center" wrapText="1"/>
    </xf>
    <xf numFmtId="3" fontId="33" fillId="0" borderId="2" xfId="0" applyNumberFormat="1" applyFont="1" applyFill="1" applyBorder="1" applyAlignment="1">
      <alignment horizontal="center" vertical="center" wrapText="1"/>
    </xf>
    <xf numFmtId="3" fontId="33" fillId="0" borderId="9" xfId="0" applyNumberFormat="1" applyFont="1" applyFill="1" applyBorder="1" applyAlignment="1">
      <alignment horizontal="center" vertical="center" wrapText="1"/>
    </xf>
    <xf numFmtId="3" fontId="33" fillId="0" borderId="13" xfId="0" applyNumberFormat="1" applyFont="1" applyFill="1" applyBorder="1" applyAlignment="1">
      <alignment horizontal="center" vertical="center" wrapText="1"/>
    </xf>
    <xf numFmtId="3" fontId="33" fillId="0" borderId="14" xfId="0" applyNumberFormat="1" applyFont="1" applyFill="1" applyBorder="1" applyAlignment="1">
      <alignment horizontal="center" vertical="center" wrapText="1"/>
    </xf>
    <xf numFmtId="3" fontId="59" fillId="0" borderId="0" xfId="0" applyNumberFormat="1" applyFont="1" applyFill="1" applyBorder="1" applyAlignment="1">
      <alignment horizontal="left" vertical="center" wrapText="1"/>
    </xf>
    <xf numFmtId="3" fontId="59" fillId="0" borderId="0" xfId="0" applyNumberFormat="1" applyFont="1" applyFill="1" applyBorder="1" applyAlignment="1">
      <alignment horizontal="left" vertical="center"/>
    </xf>
    <xf numFmtId="3" fontId="95" fillId="0" borderId="0" xfId="0" applyNumberFormat="1" applyFont="1" applyFill="1" applyBorder="1" applyAlignment="1">
      <alignment horizontal="center"/>
    </xf>
    <xf numFmtId="3" fontId="95" fillId="0" borderId="12" xfId="0" applyNumberFormat="1" applyFont="1" applyFill="1" applyBorder="1" applyAlignment="1">
      <alignment horizontal="right"/>
    </xf>
    <xf numFmtId="3" fontId="119" fillId="0" borderId="4" xfId="0" applyNumberFormat="1" applyFont="1" applyFill="1" applyBorder="1" applyAlignment="1">
      <alignment horizontal="center" vertical="center"/>
    </xf>
    <xf numFmtId="3" fontId="119" fillId="0" borderId="7" xfId="0" applyNumberFormat="1" applyFont="1" applyFill="1" applyBorder="1" applyAlignment="1">
      <alignment horizontal="center" vertical="center"/>
    </xf>
    <xf numFmtId="3" fontId="119" fillId="0" borderId="4" xfId="0" applyNumberFormat="1" applyFont="1" applyFill="1" applyBorder="1" applyAlignment="1">
      <alignment horizontal="right" vertical="center"/>
    </xf>
    <xf numFmtId="3" fontId="119" fillId="0" borderId="7" xfId="0" applyNumberFormat="1" applyFont="1" applyFill="1" applyBorder="1" applyAlignment="1">
      <alignment horizontal="right" vertical="center"/>
    </xf>
    <xf numFmtId="3" fontId="119" fillId="0" borderId="1" xfId="0" applyNumberFormat="1" applyFont="1" applyFill="1" applyBorder="1" applyAlignment="1">
      <alignment vertical="center"/>
    </xf>
    <xf numFmtId="3" fontId="117" fillId="0" borderId="1" xfId="0" applyNumberFormat="1" applyFont="1" applyFill="1" applyBorder="1" applyAlignment="1">
      <alignment vertical="center" wrapText="1"/>
    </xf>
    <xf numFmtId="3" fontId="161" fillId="0" borderId="10" xfId="0" applyNumberFormat="1" applyFont="1" applyFill="1" applyBorder="1" applyAlignment="1">
      <alignment horizontal="center" vertical="center" wrapText="1"/>
    </xf>
    <xf numFmtId="3" fontId="161" fillId="0" borderId="11" xfId="0" applyNumberFormat="1" applyFont="1" applyFill="1" applyBorder="1" applyAlignment="1">
      <alignment horizontal="center" vertical="center" wrapText="1"/>
    </xf>
    <xf numFmtId="3" fontId="161" fillId="0" borderId="5" xfId="0" applyNumberFormat="1" applyFont="1" applyFill="1" applyBorder="1" applyAlignment="1">
      <alignment horizontal="center" vertical="center" wrapText="1"/>
    </xf>
    <xf numFmtId="3" fontId="57" fillId="0" borderId="2" xfId="0" applyNumberFormat="1" applyFont="1" applyFill="1" applyBorder="1" applyAlignment="1">
      <alignment horizontal="center" vertical="center" wrapText="1"/>
    </xf>
    <xf numFmtId="3" fontId="57" fillId="0" borderId="0" xfId="0" applyNumberFormat="1" applyFont="1" applyFill="1" applyAlignment="1">
      <alignment horizontal="left"/>
    </xf>
    <xf numFmtId="3" fontId="57" fillId="0" borderId="0" xfId="0" applyNumberFormat="1" applyFont="1" applyFill="1" applyAlignment="1">
      <alignment horizontal="center"/>
    </xf>
    <xf numFmtId="3" fontId="59" fillId="0" borderId="0" xfId="0" applyNumberFormat="1" applyFont="1" applyFill="1" applyAlignment="1">
      <alignment horizontal="left"/>
    </xf>
    <xf numFmtId="3" fontId="59" fillId="0" borderId="0" xfId="0" applyNumberFormat="1" applyFont="1" applyFill="1" applyAlignment="1">
      <alignment horizontal="left" wrapText="1"/>
    </xf>
    <xf numFmtId="3" fontId="33" fillId="0" borderId="4" xfId="0" applyNumberFormat="1" applyFont="1" applyFill="1" applyBorder="1" applyAlignment="1">
      <alignment horizontal="left" vertical="center" wrapText="1"/>
    </xf>
    <xf numFmtId="3" fontId="33" fillId="0" borderId="7" xfId="0" applyNumberFormat="1" applyFont="1" applyFill="1" applyBorder="1" applyAlignment="1">
      <alignment horizontal="left" vertical="center" wrapText="1"/>
    </xf>
    <xf numFmtId="3" fontId="57" fillId="0" borderId="5" xfId="0" applyNumberFormat="1" applyFont="1" applyFill="1" applyBorder="1" applyAlignment="1">
      <alignment horizontal="center" vertical="center" wrapText="1"/>
    </xf>
    <xf numFmtId="3" fontId="57" fillId="0" borderId="10" xfId="0" applyNumberFormat="1" applyFont="1" applyFill="1" applyBorder="1" applyAlignment="1">
      <alignment horizontal="center" vertical="center" wrapText="1"/>
    </xf>
    <xf numFmtId="3" fontId="57" fillId="0" borderId="11" xfId="0" applyNumberFormat="1" applyFont="1" applyFill="1" applyBorder="1" applyAlignment="1">
      <alignment horizontal="center" vertical="center" wrapText="1"/>
    </xf>
    <xf numFmtId="3" fontId="161" fillId="0" borderId="16" xfId="0" applyNumberFormat="1" applyFont="1" applyFill="1" applyBorder="1" applyAlignment="1">
      <alignment horizontal="center" vertical="center" wrapText="1"/>
    </xf>
    <xf numFmtId="3" fontId="161" fillId="0" borderId="8" xfId="0" applyNumberFormat="1" applyFont="1" applyFill="1" applyBorder="1" applyAlignment="1">
      <alignment horizontal="center" vertical="center" wrapText="1"/>
    </xf>
    <xf numFmtId="3" fontId="161" fillId="0" borderId="17" xfId="0" applyNumberFormat="1" applyFont="1" applyFill="1" applyBorder="1" applyAlignment="1">
      <alignment horizontal="center" vertical="center" wrapText="1"/>
    </xf>
    <xf numFmtId="3" fontId="161" fillId="0" borderId="15" xfId="0" applyNumberFormat="1" applyFont="1" applyFill="1" applyBorder="1" applyAlignment="1">
      <alignment horizontal="center" vertical="center" wrapText="1"/>
    </xf>
    <xf numFmtId="3" fontId="161" fillId="0" borderId="0" xfId="0" applyNumberFormat="1" applyFont="1" applyFill="1" applyBorder="1" applyAlignment="1">
      <alignment horizontal="center" vertical="center" wrapText="1"/>
    </xf>
    <xf numFmtId="3" fontId="161" fillId="0" borderId="20" xfId="0" applyNumberFormat="1" applyFont="1" applyFill="1" applyBorder="1" applyAlignment="1">
      <alignment horizontal="center" vertical="center" wrapText="1"/>
    </xf>
    <xf numFmtId="3" fontId="161" fillId="0" borderId="18" xfId="0" applyNumberFormat="1" applyFont="1" applyFill="1" applyBorder="1" applyAlignment="1">
      <alignment horizontal="center" vertical="center" wrapText="1"/>
    </xf>
    <xf numFmtId="3" fontId="161" fillId="0" borderId="12" xfId="0" applyNumberFormat="1" applyFont="1" applyFill="1" applyBorder="1" applyAlignment="1">
      <alignment horizontal="center" vertical="center" wrapText="1"/>
    </xf>
    <xf numFmtId="3" fontId="161" fillId="0" borderId="19" xfId="0" applyNumberFormat="1" applyFont="1" applyFill="1" applyBorder="1" applyAlignment="1">
      <alignment horizontal="center" vertical="center" wrapText="1"/>
    </xf>
    <xf numFmtId="3" fontId="161" fillId="0" borderId="9" xfId="0" applyNumberFormat="1" applyFont="1" applyFill="1" applyBorder="1" applyAlignment="1">
      <alignment horizontal="center" vertical="center" wrapText="1"/>
    </xf>
    <xf numFmtId="3" fontId="161" fillId="0" borderId="13" xfId="0" applyNumberFormat="1" applyFont="1" applyFill="1" applyBorder="1" applyAlignment="1">
      <alignment horizontal="center" vertical="center" wrapText="1"/>
    </xf>
    <xf numFmtId="3" fontId="161" fillId="0" borderId="14" xfId="0" applyNumberFormat="1" applyFont="1" applyFill="1" applyBorder="1" applyAlignment="1">
      <alignment horizontal="center" vertical="center" wrapText="1"/>
    </xf>
    <xf numFmtId="3" fontId="33" fillId="0" borderId="4" xfId="0" applyNumberFormat="1" applyFont="1" applyFill="1" applyBorder="1" applyAlignment="1">
      <alignment horizontal="left" vertical="center"/>
    </xf>
    <xf numFmtId="3" fontId="33" fillId="0" borderId="7" xfId="0" applyNumberFormat="1" applyFont="1" applyFill="1" applyBorder="1" applyAlignment="1">
      <alignment horizontal="left" vertical="center"/>
    </xf>
    <xf numFmtId="3" fontId="33" fillId="0" borderId="1" xfId="0" applyNumberFormat="1" applyFont="1" applyFill="1" applyBorder="1" applyAlignment="1">
      <alignment horizontal="left" vertical="center" wrapText="1"/>
    </xf>
    <xf numFmtId="3" fontId="175" fillId="0" borderId="4" xfId="0" applyNumberFormat="1" applyFont="1" applyFill="1" applyBorder="1" applyAlignment="1">
      <alignment horizontal="center" vertical="center"/>
    </xf>
    <xf numFmtId="3" fontId="175" fillId="0" borderId="10" xfId="0" applyNumberFormat="1" applyFont="1" applyFill="1" applyBorder="1" applyAlignment="1">
      <alignment horizontal="center" vertical="center"/>
    </xf>
    <xf numFmtId="3" fontId="175" fillId="0" borderId="7" xfId="0" applyNumberFormat="1" applyFont="1" applyFill="1" applyBorder="1" applyAlignment="1">
      <alignment horizontal="center" vertical="center"/>
    </xf>
    <xf numFmtId="3" fontId="60" fillId="0" borderId="4" xfId="0" applyNumberFormat="1" applyFont="1" applyFill="1" applyBorder="1" applyAlignment="1">
      <alignment horizontal="left" vertical="center" wrapText="1"/>
    </xf>
    <xf numFmtId="3" fontId="60" fillId="0" borderId="7" xfId="0" applyNumberFormat="1" applyFont="1" applyFill="1" applyBorder="1" applyAlignment="1">
      <alignment horizontal="left" vertical="center" wrapText="1"/>
    </xf>
    <xf numFmtId="3" fontId="33" fillId="0" borderId="4" xfId="0" applyNumberFormat="1" applyFont="1" applyFill="1" applyBorder="1" applyAlignment="1">
      <alignment horizontal="center"/>
    </xf>
    <xf numFmtId="3" fontId="33" fillId="0" borderId="10" xfId="0" applyNumberFormat="1" applyFont="1" applyFill="1" applyBorder="1" applyAlignment="1">
      <alignment horizontal="center"/>
    </xf>
    <xf numFmtId="3" fontId="33" fillId="0" borderId="7" xfId="0" applyNumberFormat="1" applyFont="1" applyFill="1" applyBorder="1" applyAlignment="1">
      <alignment horizontal="center"/>
    </xf>
    <xf numFmtId="3" fontId="33" fillId="0" borderId="10" xfId="0" applyNumberFormat="1" applyFont="1" applyFill="1" applyBorder="1" applyAlignment="1">
      <alignment horizontal="left" vertical="center" wrapText="1"/>
    </xf>
    <xf numFmtId="3" fontId="33" fillId="0" borderId="10" xfId="0" applyNumberFormat="1" applyFont="1" applyFill="1" applyBorder="1" applyAlignment="1">
      <alignment horizontal="left" vertical="center"/>
    </xf>
    <xf numFmtId="3" fontId="85" fillId="0" borderId="0" xfId="0" applyNumberFormat="1" applyFont="1" applyFill="1" applyBorder="1" applyAlignment="1">
      <alignment horizontal="left" wrapText="1"/>
    </xf>
    <xf numFmtId="3" fontId="22" fillId="0" borderId="0" xfId="0" applyNumberFormat="1" applyFont="1" applyFill="1" applyBorder="1" applyAlignment="1">
      <alignment horizontal="left" wrapText="1"/>
    </xf>
    <xf numFmtId="3" fontId="23" fillId="0" borderId="0" xfId="0" applyNumberFormat="1" applyFont="1" applyFill="1" applyBorder="1" applyAlignment="1">
      <alignment horizontal="left" wrapText="1"/>
    </xf>
    <xf numFmtId="3" fontId="23" fillId="0" borderId="0" xfId="0" applyNumberFormat="1" applyFont="1" applyFill="1" applyAlignment="1">
      <alignment horizontal="left" vertical="top" wrapText="1"/>
    </xf>
    <xf numFmtId="3" fontId="119" fillId="0" borderId="4" xfId="0" applyNumberFormat="1" applyFont="1" applyFill="1" applyBorder="1" applyAlignment="1">
      <alignment vertical="center"/>
    </xf>
    <xf numFmtId="3" fontId="119" fillId="0" borderId="7" xfId="0" applyNumberFormat="1" applyFont="1" applyFill="1" applyBorder="1" applyAlignment="1">
      <alignment vertical="center"/>
    </xf>
    <xf numFmtId="3" fontId="110" fillId="0" borderId="9" xfId="0" applyNumberFormat="1" applyFont="1" applyFill="1" applyBorder="1" applyAlignment="1">
      <alignment horizontal="center" vertical="center" wrapText="1"/>
    </xf>
    <xf numFmtId="3" fontId="110" fillId="0" borderId="13" xfId="0" applyNumberFormat="1" applyFont="1" applyFill="1" applyBorder="1" applyAlignment="1">
      <alignment horizontal="center" vertical="center" wrapText="1"/>
    </xf>
    <xf numFmtId="3" fontId="110" fillId="0" borderId="14" xfId="0" applyNumberFormat="1" applyFont="1" applyFill="1" applyBorder="1" applyAlignment="1">
      <alignment horizontal="center" vertical="center" wrapText="1"/>
    </xf>
    <xf numFmtId="3" fontId="57" fillId="0" borderId="9" xfId="0" applyNumberFormat="1" applyFont="1" applyFill="1" applyBorder="1" applyAlignment="1">
      <alignment horizontal="center" vertical="center" wrapText="1"/>
    </xf>
    <xf numFmtId="3" fontId="57" fillId="0" borderId="13" xfId="0" applyNumberFormat="1" applyFont="1" applyFill="1" applyBorder="1" applyAlignment="1">
      <alignment horizontal="center" vertical="center" wrapText="1"/>
    </xf>
    <xf numFmtId="3" fontId="57" fillId="0" borderId="14" xfId="0" applyNumberFormat="1" applyFont="1" applyFill="1" applyBorder="1" applyAlignment="1">
      <alignment horizontal="center" vertical="center" wrapText="1"/>
    </xf>
    <xf numFmtId="3" fontId="117" fillId="0" borderId="4" xfId="0" applyNumberFormat="1" applyFont="1" applyFill="1" applyBorder="1" applyAlignment="1">
      <alignment vertical="center" wrapText="1"/>
    </xf>
    <xf numFmtId="3" fontId="117" fillId="0" borderId="7" xfId="0" applyNumberFormat="1" applyFont="1" applyFill="1" applyBorder="1" applyAlignment="1">
      <alignment vertical="center" wrapText="1"/>
    </xf>
    <xf numFmtId="3" fontId="15" fillId="0" borderId="0" xfId="0" applyNumberFormat="1" applyFont="1" applyAlignment="1">
      <alignment horizontal="center"/>
    </xf>
    <xf numFmtId="3" fontId="6" fillId="0" borderId="0" xfId="0" applyNumberFormat="1" applyFont="1" applyAlignment="1">
      <alignment horizontal="center"/>
    </xf>
    <xf numFmtId="3" fontId="3" fillId="0" borderId="0" xfId="0" applyNumberFormat="1" applyFont="1" applyAlignment="1">
      <alignment horizontal="center"/>
    </xf>
    <xf numFmtId="3" fontId="10" fillId="0" borderId="0" xfId="0" applyNumberFormat="1" applyFont="1" applyAlignment="1">
      <alignment horizontal="center"/>
    </xf>
    <xf numFmtId="3" fontId="7" fillId="0" borderId="0" xfId="0" applyNumberFormat="1" applyFont="1" applyAlignment="1">
      <alignment horizontal="center"/>
    </xf>
    <xf numFmtId="3" fontId="6" fillId="0" borderId="0" xfId="0" applyNumberFormat="1" applyFont="1" applyAlignment="1">
      <alignment horizontal="left"/>
    </xf>
    <xf numFmtId="3" fontId="36" fillId="0" borderId="12" xfId="0" applyNumberFormat="1" applyFont="1" applyBorder="1" applyAlignment="1">
      <alignment horizontal="center"/>
    </xf>
    <xf numFmtId="0" fontId="25" fillId="0" borderId="12" xfId="0" applyFont="1" applyBorder="1" applyAlignment="1">
      <alignment horizontal="center"/>
    </xf>
    <xf numFmtId="3" fontId="25" fillId="0" borderId="0" xfId="0" applyNumberFormat="1" applyFont="1" applyAlignment="1">
      <alignment horizontal="center"/>
    </xf>
    <xf numFmtId="0" fontId="23" fillId="0" borderId="5" xfId="0" applyFont="1" applyBorder="1" applyAlignment="1">
      <alignment horizontal="center" vertical="center" wrapText="1"/>
    </xf>
    <xf numFmtId="0" fontId="23" fillId="0" borderId="11"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11" xfId="0" applyFont="1" applyBorder="1" applyAlignment="1">
      <alignment horizontal="center" vertical="center" wrapText="1"/>
    </xf>
    <xf numFmtId="0" fontId="26" fillId="0" borderId="0" xfId="0" applyFont="1" applyAlignment="1">
      <alignment horizontal="center"/>
    </xf>
    <xf numFmtId="0" fontId="23" fillId="0" borderId="9"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3" fontId="26" fillId="0" borderId="0" xfId="0" applyNumberFormat="1" applyFont="1" applyAlignment="1">
      <alignment horizontal="center"/>
    </xf>
    <xf numFmtId="3" fontId="3" fillId="0" borderId="12" xfId="0" applyNumberFormat="1" applyFont="1" applyBorder="1" applyAlignment="1">
      <alignment horizontal="right"/>
    </xf>
    <xf numFmtId="3" fontId="15" fillId="0" borderId="2" xfId="0" applyNumberFormat="1" applyFont="1" applyBorder="1" applyAlignment="1">
      <alignment horizontal="center" vertical="center" wrapText="1"/>
    </xf>
    <xf numFmtId="3" fontId="26" fillId="0" borderId="0" xfId="0" applyNumberFormat="1" applyFont="1" applyAlignment="1">
      <alignment horizontal="left"/>
    </xf>
    <xf numFmtId="3" fontId="10" fillId="0" borderId="2" xfId="0" applyNumberFormat="1" applyFont="1" applyBorder="1" applyAlignment="1">
      <alignment horizontal="center" vertical="center" wrapText="1"/>
    </xf>
    <xf numFmtId="3" fontId="29" fillId="0" borderId="2" xfId="0" applyNumberFormat="1" applyFont="1" applyBorder="1" applyAlignment="1">
      <alignment horizontal="center" vertical="center" wrapText="1"/>
    </xf>
    <xf numFmtId="3" fontId="26" fillId="0" borderId="2" xfId="0" applyNumberFormat="1" applyFont="1" applyBorder="1" applyAlignment="1">
      <alignment horizontal="center" vertical="center" wrapText="1"/>
    </xf>
    <xf numFmtId="3" fontId="82" fillId="0" borderId="0" xfId="0" applyNumberFormat="1" applyFont="1" applyAlignment="1">
      <alignment horizontal="center"/>
    </xf>
    <xf numFmtId="3" fontId="84" fillId="0" borderId="0" xfId="0" applyNumberFormat="1" applyFont="1" applyAlignment="1">
      <alignment horizontal="center"/>
    </xf>
    <xf numFmtId="3" fontId="81" fillId="0" borderId="0" xfId="0" applyNumberFormat="1" applyFont="1" applyAlignment="1">
      <alignment horizontal="center"/>
    </xf>
    <xf numFmtId="3" fontId="15" fillId="0" borderId="16" xfId="0" applyNumberFormat="1" applyFont="1" applyBorder="1" applyAlignment="1">
      <alignment horizontal="center" vertical="center" wrapText="1"/>
    </xf>
    <xf numFmtId="3" fontId="15" fillId="0" borderId="8" xfId="0" applyNumberFormat="1" applyFont="1" applyBorder="1" applyAlignment="1">
      <alignment horizontal="center" vertical="center" wrapText="1"/>
    </xf>
    <xf numFmtId="3" fontId="15" fillId="0" borderId="17" xfId="0" applyNumberFormat="1" applyFont="1" applyBorder="1" applyAlignment="1">
      <alignment horizontal="center" vertical="center" wrapText="1"/>
    </xf>
    <xf numFmtId="3" fontId="15" fillId="0" borderId="18" xfId="0" applyNumberFormat="1" applyFont="1" applyBorder="1" applyAlignment="1">
      <alignment horizontal="center" vertical="center" wrapText="1"/>
    </xf>
    <xf numFmtId="3" fontId="15" fillId="0" borderId="12" xfId="0" applyNumberFormat="1" applyFont="1" applyBorder="1" applyAlignment="1">
      <alignment horizontal="center" vertical="center" wrapText="1"/>
    </xf>
    <xf numFmtId="3" fontId="15" fillId="0" borderId="19" xfId="0" applyNumberFormat="1" applyFont="1" applyBorder="1" applyAlignment="1">
      <alignment horizontal="center" vertical="center" wrapText="1"/>
    </xf>
    <xf numFmtId="3" fontId="15" fillId="0" borderId="11" xfId="0" applyNumberFormat="1" applyFont="1" applyBorder="1" applyAlignment="1">
      <alignment horizontal="center" vertical="center" wrapText="1"/>
    </xf>
    <xf numFmtId="0" fontId="27" fillId="0" borderId="0" xfId="0" applyFont="1" applyAlignment="1">
      <alignment horizontal="right"/>
    </xf>
    <xf numFmtId="0" fontId="27" fillId="0" borderId="0" xfId="0" applyFont="1" applyAlignment="1">
      <alignment horizontal="center"/>
    </xf>
    <xf numFmtId="3" fontId="4" fillId="0" borderId="2" xfId="0" applyNumberFormat="1" applyFont="1" applyBorder="1" applyAlignment="1">
      <alignment horizontal="right" vertical="center"/>
    </xf>
  </cellXfs>
  <cellStyles count="3">
    <cellStyle name="Normal" xfId="0" builtinId="0"/>
    <cellStyle name="Normal_Sheet1" xfId="1"/>
    <cellStyle name="Percent" xfId="2" builtinId="5"/>
  </cellStyles>
  <dxfs count="0"/>
  <tableStyles count="0" defaultTableStyle="TableStyleMedium9" defaultPivotStyle="PivotStyleLight16"/>
  <colors>
    <mruColors>
      <color rgb="FF000099"/>
      <color rgb="FF0000CC"/>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409575</xdr:colOff>
      <xdr:row>2</xdr:row>
      <xdr:rowOff>28575</xdr:rowOff>
    </xdr:from>
    <xdr:to>
      <xdr:col>1</xdr:col>
      <xdr:colOff>533400</xdr:colOff>
      <xdr:row>2</xdr:row>
      <xdr:rowOff>28575</xdr:rowOff>
    </xdr:to>
    <xdr:sp macro="" textlink="">
      <xdr:nvSpPr>
        <xdr:cNvPr id="2" name="Line 23"/>
        <xdr:cNvSpPr>
          <a:spLocks noChangeShapeType="1"/>
        </xdr:cNvSpPr>
      </xdr:nvSpPr>
      <xdr:spPr bwMode="auto">
        <a:xfrm>
          <a:off x="409575" y="428625"/>
          <a:ext cx="552450" cy="0"/>
        </a:xfrm>
        <a:prstGeom prst="line">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438150</xdr:colOff>
      <xdr:row>2</xdr:row>
      <xdr:rowOff>9525</xdr:rowOff>
    </xdr:from>
    <xdr:to>
      <xdr:col>1</xdr:col>
      <xdr:colOff>1057275</xdr:colOff>
      <xdr:row>2</xdr:row>
      <xdr:rowOff>9525</xdr:rowOff>
    </xdr:to>
    <xdr:sp macro="" textlink="">
      <xdr:nvSpPr>
        <xdr:cNvPr id="138666" name="Line 1"/>
        <xdr:cNvSpPr>
          <a:spLocks noChangeShapeType="1"/>
        </xdr:cNvSpPr>
      </xdr:nvSpPr>
      <xdr:spPr bwMode="auto">
        <a:xfrm>
          <a:off x="438150" y="409575"/>
          <a:ext cx="619125" cy="0"/>
        </a:xfrm>
        <a:prstGeom prst="line">
          <a:avLst/>
        </a:prstGeom>
        <a:no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400050</xdr:colOff>
      <xdr:row>2</xdr:row>
      <xdr:rowOff>9525</xdr:rowOff>
    </xdr:from>
    <xdr:to>
      <xdr:col>2</xdr:col>
      <xdr:colOff>581025</xdr:colOff>
      <xdr:row>2</xdr:row>
      <xdr:rowOff>9525</xdr:rowOff>
    </xdr:to>
    <xdr:sp macro="" textlink="">
      <xdr:nvSpPr>
        <xdr:cNvPr id="5" name="Line 1"/>
        <xdr:cNvSpPr>
          <a:spLocks noChangeShapeType="1"/>
        </xdr:cNvSpPr>
      </xdr:nvSpPr>
      <xdr:spPr bwMode="auto">
        <a:xfrm>
          <a:off x="400050" y="409575"/>
          <a:ext cx="666750" cy="0"/>
        </a:xfrm>
        <a:prstGeom prst="line">
          <a:avLst/>
        </a:prstGeom>
        <a:noFill/>
        <a:ln w="9525">
          <a:solidFill>
            <a:srgbClr val="000000"/>
          </a:solidFill>
          <a:round/>
          <a:headEnd/>
          <a:tailEnd/>
        </a:ln>
      </xdr:spPr>
    </xdr:sp>
    <xdr:clientData/>
  </xdr:twoCellAnchor>
  <xdr:twoCellAnchor>
    <xdr:from>
      <xdr:col>0</xdr:col>
      <xdr:colOff>400050</xdr:colOff>
      <xdr:row>2</xdr:row>
      <xdr:rowOff>9525</xdr:rowOff>
    </xdr:from>
    <xdr:to>
      <xdr:col>2</xdr:col>
      <xdr:colOff>581025</xdr:colOff>
      <xdr:row>2</xdr:row>
      <xdr:rowOff>9525</xdr:rowOff>
    </xdr:to>
    <xdr:sp macro="" textlink="">
      <xdr:nvSpPr>
        <xdr:cNvPr id="6" name="Line 1"/>
        <xdr:cNvSpPr>
          <a:spLocks noChangeShapeType="1"/>
        </xdr:cNvSpPr>
      </xdr:nvSpPr>
      <xdr:spPr bwMode="auto">
        <a:xfrm>
          <a:off x="400050" y="409575"/>
          <a:ext cx="666750" cy="0"/>
        </a:xfrm>
        <a:prstGeom prst="line">
          <a:avLst/>
        </a:prstGeom>
        <a:no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400050</xdr:colOff>
      <xdr:row>2</xdr:row>
      <xdr:rowOff>9525</xdr:rowOff>
    </xdr:from>
    <xdr:to>
      <xdr:col>2</xdr:col>
      <xdr:colOff>581025</xdr:colOff>
      <xdr:row>2</xdr:row>
      <xdr:rowOff>9525</xdr:rowOff>
    </xdr:to>
    <xdr:sp macro="" textlink="">
      <xdr:nvSpPr>
        <xdr:cNvPr id="2" name="Line 1"/>
        <xdr:cNvSpPr>
          <a:spLocks noChangeShapeType="1"/>
        </xdr:cNvSpPr>
      </xdr:nvSpPr>
      <xdr:spPr bwMode="auto">
        <a:xfrm>
          <a:off x="400050" y="600075"/>
          <a:ext cx="666750" cy="0"/>
        </a:xfrm>
        <a:prstGeom prst="line">
          <a:avLst/>
        </a:prstGeom>
        <a:noFill/>
        <a:ln w="9525">
          <a:solidFill>
            <a:srgbClr val="000000"/>
          </a:solidFill>
          <a:round/>
          <a:headEnd/>
          <a:tailEnd/>
        </a:ln>
      </xdr:spPr>
    </xdr:sp>
    <xdr:clientData/>
  </xdr:twoCellAnchor>
  <xdr:twoCellAnchor>
    <xdr:from>
      <xdr:col>0</xdr:col>
      <xdr:colOff>400050</xdr:colOff>
      <xdr:row>2</xdr:row>
      <xdr:rowOff>9525</xdr:rowOff>
    </xdr:from>
    <xdr:to>
      <xdr:col>2</xdr:col>
      <xdr:colOff>581025</xdr:colOff>
      <xdr:row>2</xdr:row>
      <xdr:rowOff>9525</xdr:rowOff>
    </xdr:to>
    <xdr:sp macro="" textlink="">
      <xdr:nvSpPr>
        <xdr:cNvPr id="3" name="Line 1"/>
        <xdr:cNvSpPr>
          <a:spLocks noChangeShapeType="1"/>
        </xdr:cNvSpPr>
      </xdr:nvSpPr>
      <xdr:spPr bwMode="auto">
        <a:xfrm>
          <a:off x="400050" y="600075"/>
          <a:ext cx="666750" cy="0"/>
        </a:xfrm>
        <a:prstGeom prst="line">
          <a:avLst/>
        </a:prstGeom>
        <a:noFill/>
        <a:ln w="9525">
          <a:solidFill>
            <a:srgbClr val="000000"/>
          </a:solidFill>
          <a:round/>
          <a:headEnd/>
          <a:tailEnd/>
        </a:ln>
      </xdr:spPr>
    </xdr:sp>
    <xdr:clientData/>
  </xdr:twoCellAnchor>
  <xdr:twoCellAnchor>
    <xdr:from>
      <xdr:col>7</xdr:col>
      <xdr:colOff>523875</xdr:colOff>
      <xdr:row>2</xdr:row>
      <xdr:rowOff>19050</xdr:rowOff>
    </xdr:from>
    <xdr:to>
      <xdr:col>8</xdr:col>
      <xdr:colOff>285750</xdr:colOff>
      <xdr:row>2</xdr:row>
      <xdr:rowOff>19050</xdr:rowOff>
    </xdr:to>
    <xdr:sp macro="" textlink="">
      <xdr:nvSpPr>
        <xdr:cNvPr id="4" name="Line 1"/>
        <xdr:cNvSpPr>
          <a:spLocks noChangeShapeType="1"/>
        </xdr:cNvSpPr>
      </xdr:nvSpPr>
      <xdr:spPr bwMode="auto">
        <a:xfrm>
          <a:off x="8039100" y="609600"/>
          <a:ext cx="476250" cy="0"/>
        </a:xfrm>
        <a:prstGeom prst="line">
          <a:avLst/>
        </a:prstGeom>
        <a:noFill/>
        <a:ln w="9525">
          <a:solidFill>
            <a:srgbClr val="000000"/>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76200</xdr:colOff>
      <xdr:row>2</xdr:row>
      <xdr:rowOff>6593</xdr:rowOff>
    </xdr:from>
    <xdr:to>
      <xdr:col>1</xdr:col>
      <xdr:colOff>628650</xdr:colOff>
      <xdr:row>2</xdr:row>
      <xdr:rowOff>6593</xdr:rowOff>
    </xdr:to>
    <xdr:sp macro="" textlink="">
      <xdr:nvSpPr>
        <xdr:cNvPr id="140714" name="Line 1"/>
        <xdr:cNvSpPr>
          <a:spLocks noChangeShapeType="1"/>
        </xdr:cNvSpPr>
      </xdr:nvSpPr>
      <xdr:spPr bwMode="auto">
        <a:xfrm>
          <a:off x="369277" y="431555"/>
          <a:ext cx="552450" cy="0"/>
        </a:xfrm>
        <a:prstGeom prst="line">
          <a:avLst/>
        </a:prstGeom>
        <a:noFill/>
        <a:ln w="9525">
          <a:solidFill>
            <a:srgbClr val="000000"/>
          </a:solidFill>
          <a:round/>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104775</xdr:colOff>
      <xdr:row>2</xdr:row>
      <xdr:rowOff>0</xdr:rowOff>
    </xdr:from>
    <xdr:to>
      <xdr:col>1</xdr:col>
      <xdr:colOff>590550</xdr:colOff>
      <xdr:row>2</xdr:row>
      <xdr:rowOff>0</xdr:rowOff>
    </xdr:to>
    <xdr:sp macro="" textlink="">
      <xdr:nvSpPr>
        <xdr:cNvPr id="141738" name="Line 5"/>
        <xdr:cNvSpPr>
          <a:spLocks noChangeShapeType="1"/>
        </xdr:cNvSpPr>
      </xdr:nvSpPr>
      <xdr:spPr bwMode="auto">
        <a:xfrm>
          <a:off x="371475" y="381000"/>
          <a:ext cx="485775" cy="0"/>
        </a:xfrm>
        <a:prstGeom prst="line">
          <a:avLst/>
        </a:prstGeom>
        <a:noFill/>
        <a:ln w="9525">
          <a:solidFill>
            <a:srgbClr val="000000"/>
          </a:solidFill>
          <a:round/>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104775</xdr:colOff>
      <xdr:row>2</xdr:row>
      <xdr:rowOff>0</xdr:rowOff>
    </xdr:from>
    <xdr:to>
      <xdr:col>1</xdr:col>
      <xdr:colOff>590550</xdr:colOff>
      <xdr:row>2</xdr:row>
      <xdr:rowOff>0</xdr:rowOff>
    </xdr:to>
    <xdr:sp macro="" textlink="">
      <xdr:nvSpPr>
        <xdr:cNvPr id="2" name="Line 5"/>
        <xdr:cNvSpPr>
          <a:spLocks noChangeShapeType="1"/>
        </xdr:cNvSpPr>
      </xdr:nvSpPr>
      <xdr:spPr bwMode="auto">
        <a:xfrm>
          <a:off x="323850" y="381000"/>
          <a:ext cx="485775"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409575</xdr:colOff>
      <xdr:row>2</xdr:row>
      <xdr:rowOff>28575</xdr:rowOff>
    </xdr:from>
    <xdr:to>
      <xdr:col>1</xdr:col>
      <xdr:colOff>533400</xdr:colOff>
      <xdr:row>2</xdr:row>
      <xdr:rowOff>28575</xdr:rowOff>
    </xdr:to>
    <xdr:sp macro="" textlink="">
      <xdr:nvSpPr>
        <xdr:cNvPr id="134618" name="Line 23"/>
        <xdr:cNvSpPr>
          <a:spLocks noChangeShapeType="1"/>
        </xdr:cNvSpPr>
      </xdr:nvSpPr>
      <xdr:spPr bwMode="auto">
        <a:xfrm>
          <a:off x="409575" y="428625"/>
          <a:ext cx="552450"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2</xdr:row>
      <xdr:rowOff>9525</xdr:rowOff>
    </xdr:from>
    <xdr:to>
      <xdr:col>1</xdr:col>
      <xdr:colOff>971550</xdr:colOff>
      <xdr:row>2</xdr:row>
      <xdr:rowOff>9525</xdr:rowOff>
    </xdr:to>
    <xdr:sp macro="" textlink="">
      <xdr:nvSpPr>
        <xdr:cNvPr id="2" name="Line 23"/>
        <xdr:cNvSpPr>
          <a:spLocks noChangeShapeType="1"/>
        </xdr:cNvSpPr>
      </xdr:nvSpPr>
      <xdr:spPr bwMode="auto">
        <a:xfrm>
          <a:off x="781050" y="447675"/>
          <a:ext cx="552450" cy="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xdr:row>
      <xdr:rowOff>180975</xdr:rowOff>
    </xdr:from>
    <xdr:to>
      <xdr:col>1</xdr:col>
      <xdr:colOff>723900</xdr:colOff>
      <xdr:row>1</xdr:row>
      <xdr:rowOff>180975</xdr:rowOff>
    </xdr:to>
    <xdr:sp macro="" textlink="">
      <xdr:nvSpPr>
        <xdr:cNvPr id="135594" name="Line 25"/>
        <xdr:cNvSpPr>
          <a:spLocks noChangeShapeType="1"/>
        </xdr:cNvSpPr>
      </xdr:nvSpPr>
      <xdr:spPr bwMode="auto">
        <a:xfrm>
          <a:off x="428625" y="381000"/>
          <a:ext cx="590550" cy="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400050</xdr:colOff>
      <xdr:row>2</xdr:row>
      <xdr:rowOff>9525</xdr:rowOff>
    </xdr:from>
    <xdr:to>
      <xdr:col>1</xdr:col>
      <xdr:colOff>438150</xdr:colOff>
      <xdr:row>2</xdr:row>
      <xdr:rowOff>9525</xdr:rowOff>
    </xdr:to>
    <xdr:sp macro="" textlink="">
      <xdr:nvSpPr>
        <xdr:cNvPr id="136618" name="Line 9"/>
        <xdr:cNvSpPr>
          <a:spLocks noChangeShapeType="1"/>
        </xdr:cNvSpPr>
      </xdr:nvSpPr>
      <xdr:spPr bwMode="auto">
        <a:xfrm>
          <a:off x="400050" y="419100"/>
          <a:ext cx="504825" cy="0"/>
        </a:xfrm>
        <a:prstGeom prst="lin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2</xdr:row>
      <xdr:rowOff>0</xdr:rowOff>
    </xdr:from>
    <xdr:to>
      <xdr:col>1</xdr:col>
      <xdr:colOff>628650</xdr:colOff>
      <xdr:row>2</xdr:row>
      <xdr:rowOff>0</xdr:rowOff>
    </xdr:to>
    <xdr:sp macro="" textlink="">
      <xdr:nvSpPr>
        <xdr:cNvPr id="137642" name="Line 26"/>
        <xdr:cNvSpPr>
          <a:spLocks noChangeShapeType="1"/>
        </xdr:cNvSpPr>
      </xdr:nvSpPr>
      <xdr:spPr bwMode="auto">
        <a:xfrm>
          <a:off x="381000" y="438150"/>
          <a:ext cx="619125" cy="0"/>
        </a:xfrm>
        <a:prstGeom prst="lin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552450</xdr:colOff>
      <xdr:row>2</xdr:row>
      <xdr:rowOff>0</xdr:rowOff>
    </xdr:to>
    <xdr:sp macro="" textlink="">
      <xdr:nvSpPr>
        <xdr:cNvPr id="2" name="Line 23"/>
        <xdr:cNvSpPr>
          <a:spLocks noChangeShapeType="1"/>
        </xdr:cNvSpPr>
      </xdr:nvSpPr>
      <xdr:spPr bwMode="auto">
        <a:xfrm>
          <a:off x="514350" y="476250"/>
          <a:ext cx="552450" cy="0"/>
        </a:xfrm>
        <a:prstGeom prst="line">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552450</xdr:colOff>
      <xdr:row>2</xdr:row>
      <xdr:rowOff>0</xdr:rowOff>
    </xdr:to>
    <xdr:sp macro="" textlink="">
      <xdr:nvSpPr>
        <xdr:cNvPr id="2" name="Line 23"/>
        <xdr:cNvSpPr>
          <a:spLocks noChangeShapeType="1"/>
        </xdr:cNvSpPr>
      </xdr:nvSpPr>
      <xdr:spPr bwMode="auto">
        <a:xfrm>
          <a:off x="514350" y="476250"/>
          <a:ext cx="552450" cy="0"/>
        </a:xfrm>
        <a:prstGeom prst="line">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552450</xdr:colOff>
      <xdr:row>2</xdr:row>
      <xdr:rowOff>0</xdr:rowOff>
    </xdr:to>
    <xdr:sp macro="" textlink="">
      <xdr:nvSpPr>
        <xdr:cNvPr id="2" name="Line 23"/>
        <xdr:cNvSpPr>
          <a:spLocks noChangeShapeType="1"/>
        </xdr:cNvSpPr>
      </xdr:nvSpPr>
      <xdr:spPr bwMode="auto">
        <a:xfrm>
          <a:off x="381000" y="476250"/>
          <a:ext cx="552450" cy="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ai%20lieu\HO%20SO%20LUU\TAI%20LIEU%20N&#258;M%202018\QUYET%20TOAN%20NS%20%202017\249.HX.%20Bieu%20mau%20BC%20quyet%20toan%20NSNN%20201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nh muc"/>
      <sheetName val="BS 01(60.TT342)"/>
      <sheetName val="BS 02 (61)"/>
      <sheetName val="BS 03 (62)"/>
      <sheetName val="Sheet6"/>
      <sheetName val="BS 04 (63)"/>
      <sheetName val="BS 05 (64)"/>
      <sheetName val="BS 06 (65)"/>
      <sheetName val="BS 07 (66)"/>
      <sheetName val="BS 08 (67)"/>
      <sheetName val="BS 09 (68)"/>
      <sheetName val="BS 10 (69)"/>
      <sheetName val="Sheet5"/>
      <sheetName val="BS 11(70)"/>
      <sheetName val="BS 12 (70)"/>
      <sheetName val="Sheet7"/>
      <sheetName val="BS 13"/>
      <sheetName val="BS 14"/>
      <sheetName val="BS 15"/>
      <sheetName val="Sheet2"/>
      <sheetName val="BS 16"/>
      <sheetName val="BS 17"/>
      <sheetName val="Sheet8"/>
      <sheetName val="BS 18"/>
      <sheetName val="Sheet1"/>
      <sheetName val="BS 19"/>
      <sheetName val="Sheet3"/>
      <sheetName val="Sheet4"/>
      <sheetName val="Danh muc (2)"/>
    </sheetNames>
    <sheetDataSet>
      <sheetData sheetId="0"/>
      <sheetData sheetId="1">
        <row r="7">
          <cell r="F7">
            <v>324683.02419800003</v>
          </cell>
        </row>
      </sheetData>
      <sheetData sheetId="2">
        <row r="9">
          <cell r="E9">
            <v>85020.334171999988</v>
          </cell>
        </row>
        <row r="17">
          <cell r="E17">
            <v>28039.443020999999</v>
          </cell>
        </row>
        <row r="23">
          <cell r="E23">
            <v>10522.109</v>
          </cell>
        </row>
        <row r="26">
          <cell r="E26">
            <v>4214.8328979999997</v>
          </cell>
        </row>
        <row r="28">
          <cell r="E28">
            <v>1927.0052589999998</v>
          </cell>
        </row>
        <row r="29">
          <cell r="E29">
            <v>26326.585999999999</v>
          </cell>
        </row>
        <row r="30">
          <cell r="E30">
            <v>5107.6466790000004</v>
          </cell>
        </row>
        <row r="31">
          <cell r="E31">
            <v>621</v>
          </cell>
        </row>
        <row r="40">
          <cell r="E40">
            <v>3444.5107720000001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00B0F0"/>
  </sheetPr>
  <dimension ref="A1:J31"/>
  <sheetViews>
    <sheetView workbookViewId="0">
      <selection activeCell="B6" sqref="B6:E6"/>
    </sheetView>
  </sheetViews>
  <sheetFormatPr defaultRowHeight="15"/>
  <cols>
    <col min="1" max="1" width="5.625" style="3" customWidth="1"/>
    <col min="2" max="2" width="49.75" style="1" customWidth="1"/>
    <col min="3" max="3" width="0.125" style="1" hidden="1" customWidth="1"/>
    <col min="4" max="4" width="1.125" style="1" hidden="1" customWidth="1"/>
    <col min="5" max="5" width="15.875" style="1" customWidth="1"/>
    <col min="6" max="6" width="14.5" style="1" customWidth="1"/>
    <col min="7" max="7" width="16.125" style="1" customWidth="1"/>
    <col min="8" max="8" width="14.5" style="1" customWidth="1"/>
    <col min="9" max="16384" width="9" style="1"/>
  </cols>
  <sheetData>
    <row r="1" spans="1:5" ht="15.75">
      <c r="A1" s="978" t="s">
        <v>667</v>
      </c>
      <c r="B1" s="978"/>
      <c r="E1" s="970" t="s">
        <v>1749</v>
      </c>
    </row>
    <row r="2" spans="1:5" ht="15.75">
      <c r="A2" s="978" t="s">
        <v>668</v>
      </c>
      <c r="B2" s="18"/>
    </row>
    <row r="3" spans="1:5" ht="15.75">
      <c r="A3" s="978"/>
      <c r="B3" s="18"/>
    </row>
    <row r="4" spans="1:5" ht="18.75">
      <c r="A4" s="1018" t="s">
        <v>1752</v>
      </c>
      <c r="B4" s="1018"/>
      <c r="C4" s="1018"/>
      <c r="D4" s="1018"/>
      <c r="E4" s="1018"/>
    </row>
    <row r="5" spans="1:5" ht="18.75">
      <c r="A5" s="973"/>
      <c r="B5" s="973"/>
    </row>
    <row r="6" spans="1:5" ht="15.75">
      <c r="A6" s="976"/>
      <c r="B6" s="1019" t="s">
        <v>808</v>
      </c>
      <c r="C6" s="1019"/>
      <c r="D6" s="1019"/>
      <c r="E6" s="1019"/>
    </row>
    <row r="7" spans="1:5" ht="15.75">
      <c r="A7" s="1020" t="s">
        <v>76</v>
      </c>
      <c r="B7" s="1022" t="s">
        <v>670</v>
      </c>
      <c r="C7" s="1024" t="s">
        <v>1233</v>
      </c>
      <c r="D7" s="1024"/>
      <c r="E7" s="1020" t="s">
        <v>1750</v>
      </c>
    </row>
    <row r="8" spans="1:5" ht="53.25" customHeight="1">
      <c r="A8" s="1021"/>
      <c r="B8" s="1023"/>
      <c r="C8" s="975" t="s">
        <v>827</v>
      </c>
      <c r="D8" s="975" t="s">
        <v>1235</v>
      </c>
      <c r="E8" s="1025"/>
    </row>
    <row r="9" spans="1:5" ht="15.75">
      <c r="A9" s="685">
        <v>1</v>
      </c>
      <c r="B9" s="685">
        <v>2</v>
      </c>
      <c r="C9" s="100">
        <v>3</v>
      </c>
      <c r="D9" s="100">
        <v>4</v>
      </c>
      <c r="E9" s="100">
        <v>3</v>
      </c>
    </row>
    <row r="10" spans="1:5" s="2" customFormat="1" ht="20.100000000000001" customHeight="1">
      <c r="A10" s="685" t="s">
        <v>78</v>
      </c>
      <c r="B10" s="712" t="s">
        <v>1751</v>
      </c>
      <c r="C10" s="97"/>
      <c r="D10" s="97"/>
      <c r="E10" s="97">
        <f>E11+E15</f>
        <v>339026000</v>
      </c>
    </row>
    <row r="11" spans="1:5" s="2" customFormat="1" ht="20.100000000000001" customHeight="1">
      <c r="A11" s="685" t="s">
        <v>84</v>
      </c>
      <c r="B11" s="41" t="s">
        <v>1756</v>
      </c>
      <c r="C11" s="38">
        <f>SUM(C12:C14)</f>
        <v>60324000</v>
      </c>
      <c r="D11" s="38">
        <f>SUM(D12:D14)</f>
        <v>115647536.653</v>
      </c>
      <c r="E11" s="38">
        <f>SUM(E12:E14)</f>
        <v>58380000</v>
      </c>
    </row>
    <row r="12" spans="1:5" ht="20.100000000000001" customHeight="1">
      <c r="A12" s="76" t="s">
        <v>550</v>
      </c>
      <c r="B12" s="39" t="s">
        <v>1757</v>
      </c>
      <c r="C12" s="95">
        <f>'Thu 2019 được hưởng'!K58+'Thu 2019 được hưởng'!K42</f>
        <v>2550000</v>
      </c>
      <c r="D12" s="95">
        <v>2550000</v>
      </c>
      <c r="E12" s="614">
        <f>'Biểu 02'!E13+'Biểu 02'!E27</f>
        <v>1550000</v>
      </c>
    </row>
    <row r="13" spans="1:5" ht="20.100000000000001" customHeight="1">
      <c r="A13" s="76" t="s">
        <v>550</v>
      </c>
      <c r="B13" s="39" t="s">
        <v>1758</v>
      </c>
      <c r="C13" s="95">
        <f>'Thu 2019 được hưởng'!K9-'Biểu 02'!C13</f>
        <v>57774000</v>
      </c>
      <c r="D13" s="95">
        <v>57774000</v>
      </c>
      <c r="E13" s="95">
        <v>56830000</v>
      </c>
    </row>
    <row r="14" spans="1:5" ht="20.100000000000001" customHeight="1">
      <c r="A14" s="76" t="s">
        <v>550</v>
      </c>
      <c r="B14" s="39" t="s">
        <v>1759</v>
      </c>
      <c r="C14" s="95"/>
      <c r="D14" s="95">
        <v>55323536.652999997</v>
      </c>
      <c r="E14" s="95"/>
    </row>
    <row r="15" spans="1:5" s="2" customFormat="1" ht="20.100000000000001" customHeight="1">
      <c r="A15" s="685" t="s">
        <v>85</v>
      </c>
      <c r="B15" s="38" t="s">
        <v>1760</v>
      </c>
      <c r="C15" s="38" t="e">
        <f>C16+C17</f>
        <v>#REF!</v>
      </c>
      <c r="D15" s="38">
        <f>D16+D17</f>
        <v>261145698</v>
      </c>
      <c r="E15" s="38">
        <f>E16+E17</f>
        <v>280646000</v>
      </c>
    </row>
    <row r="16" spans="1:5" ht="20.100000000000001" customHeight="1">
      <c r="A16" s="76" t="s">
        <v>550</v>
      </c>
      <c r="B16" s="39" t="s">
        <v>718</v>
      </c>
      <c r="C16" s="95" t="e">
        <f>#REF!-C11</f>
        <v>#REF!</v>
      </c>
      <c r="D16" s="95">
        <v>212611000</v>
      </c>
      <c r="E16" s="95">
        <v>280646000</v>
      </c>
    </row>
    <row r="17" spans="1:10" ht="20.100000000000001" customHeight="1">
      <c r="A17" s="76" t="s">
        <v>550</v>
      </c>
      <c r="B17" s="39" t="s">
        <v>719</v>
      </c>
      <c r="C17" s="95"/>
      <c r="D17" s="95">
        <f>49000000-465302</f>
        <v>48534698</v>
      </c>
      <c r="E17" s="95"/>
    </row>
    <row r="18" spans="1:10" s="398" customFormat="1" ht="20.100000000000001" customHeight="1">
      <c r="A18" s="685" t="s">
        <v>79</v>
      </c>
      <c r="B18" s="713" t="s">
        <v>1753</v>
      </c>
      <c r="C18" s="100"/>
      <c r="D18" s="100"/>
      <c r="E18" s="940">
        <f>E19</f>
        <v>339026000</v>
      </c>
    </row>
    <row r="19" spans="1:10" s="2" customFormat="1" ht="20.100000000000001" customHeight="1">
      <c r="A19" s="685" t="s">
        <v>84</v>
      </c>
      <c r="B19" s="93" t="s">
        <v>1754</v>
      </c>
      <c r="C19" s="97"/>
      <c r="D19" s="97"/>
      <c r="E19" s="97">
        <f>E20+E21+E22</f>
        <v>339026000</v>
      </c>
    </row>
    <row r="20" spans="1:10" s="2" customFormat="1" ht="20.100000000000001" customHeight="1">
      <c r="A20" s="76">
        <v>1</v>
      </c>
      <c r="B20" s="39" t="s">
        <v>216</v>
      </c>
      <c r="C20" s="982"/>
      <c r="D20" s="982"/>
      <c r="E20" s="982">
        <v>23600000</v>
      </c>
    </row>
    <row r="21" spans="1:10" ht="20.100000000000001" customHeight="1">
      <c r="A21" s="76">
        <v>2</v>
      </c>
      <c r="B21" s="39" t="s">
        <v>229</v>
      </c>
      <c r="C21" s="614"/>
      <c r="D21" s="614"/>
      <c r="E21" s="614">
        <v>311964000</v>
      </c>
    </row>
    <row r="22" spans="1:10" ht="20.100000000000001" customHeight="1">
      <c r="A22" s="76">
        <v>3</v>
      </c>
      <c r="B22" s="39" t="s">
        <v>1755</v>
      </c>
      <c r="C22" s="614"/>
      <c r="D22" s="614"/>
      <c r="E22" s="614">
        <v>3462000</v>
      </c>
    </row>
    <row r="23" spans="1:10" s="2" customFormat="1" ht="15.75">
      <c r="A23" s="974"/>
      <c r="B23" s="141"/>
    </row>
    <row r="24" spans="1:10" ht="18" customHeight="1">
      <c r="A24" s="976"/>
      <c r="B24" s="18"/>
      <c r="C24" s="352" t="s">
        <v>1237</v>
      </c>
      <c r="D24" s="352"/>
      <c r="E24" s="356"/>
      <c r="F24" s="356"/>
    </row>
    <row r="25" spans="1:10" ht="18" customHeight="1">
      <c r="A25" s="976"/>
      <c r="B25" s="18"/>
      <c r="C25" s="1016"/>
      <c r="D25" s="1016"/>
      <c r="E25" s="1016"/>
      <c r="F25" s="182"/>
      <c r="G25" s="182"/>
      <c r="H25" s="182"/>
      <c r="I25" s="182"/>
      <c r="J25" s="182"/>
    </row>
    <row r="26" spans="1:10" ht="15.75">
      <c r="A26" s="976"/>
      <c r="B26" s="18"/>
      <c r="C26" s="1017"/>
      <c r="D26" s="1017"/>
      <c r="E26" s="1017"/>
      <c r="F26" s="977"/>
      <c r="G26" s="977"/>
      <c r="H26" s="977"/>
      <c r="I26" s="977"/>
      <c r="J26" s="977"/>
    </row>
    <row r="27" spans="1:10" ht="15.75">
      <c r="A27" s="976"/>
      <c r="B27" s="18"/>
      <c r="C27" s="979"/>
      <c r="D27" s="33"/>
      <c r="E27" s="33"/>
      <c r="F27" s="33"/>
      <c r="G27" s="33"/>
      <c r="H27" s="33"/>
      <c r="I27" s="26"/>
      <c r="J27" s="26"/>
    </row>
    <row r="28" spans="1:10" ht="26.25" customHeight="1">
      <c r="A28" s="976"/>
      <c r="B28" s="18"/>
      <c r="C28" s="979"/>
      <c r="D28" s="33"/>
      <c r="E28" s="33"/>
      <c r="F28" s="33"/>
      <c r="G28" s="33"/>
      <c r="H28" s="33"/>
      <c r="I28" s="28"/>
      <c r="J28" s="29"/>
    </row>
    <row r="29" spans="1:10" ht="15.75" customHeight="1">
      <c r="C29" s="976"/>
      <c r="D29" s="33"/>
      <c r="E29" s="33"/>
      <c r="F29" s="33"/>
      <c r="G29" s="33"/>
      <c r="H29" s="33"/>
      <c r="I29" s="977"/>
      <c r="J29" s="29"/>
    </row>
    <row r="30" spans="1:10" ht="15.75">
      <c r="C30" s="976"/>
      <c r="D30" s="33"/>
      <c r="E30" s="33"/>
      <c r="F30" s="33"/>
      <c r="G30" s="33"/>
      <c r="H30" s="33"/>
      <c r="I30" s="977"/>
      <c r="J30" s="29"/>
    </row>
    <row r="31" spans="1:10" ht="15.75">
      <c r="C31" s="1017"/>
      <c r="D31" s="1017"/>
      <c r="E31" s="1017"/>
      <c r="F31" s="1017" t="s">
        <v>1236</v>
      </c>
      <c r="G31" s="1017"/>
      <c r="H31" s="1017"/>
      <c r="I31" s="1017"/>
      <c r="J31" s="1017"/>
    </row>
  </sheetData>
  <mergeCells count="10">
    <mergeCell ref="C25:E25"/>
    <mergeCell ref="C26:E26"/>
    <mergeCell ref="C31:E31"/>
    <mergeCell ref="F31:J31"/>
    <mergeCell ref="A4:E4"/>
    <mergeCell ref="B6:E6"/>
    <mergeCell ref="A7:A8"/>
    <mergeCell ref="B7:B8"/>
    <mergeCell ref="C7:D7"/>
    <mergeCell ref="E7:E8"/>
  </mergeCells>
  <pageMargins left="1.2"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sheetPr>
    <tabColor rgb="FF00B0F0"/>
  </sheetPr>
  <dimension ref="A1:J58"/>
  <sheetViews>
    <sheetView tabSelected="1" workbookViewId="0">
      <selection activeCell="E9" sqref="E9"/>
    </sheetView>
  </sheetViews>
  <sheetFormatPr defaultRowHeight="18.75"/>
  <cols>
    <col min="1" max="1" width="5" style="941" customWidth="1"/>
    <col min="2" max="2" width="31.75" style="941" customWidth="1"/>
    <col min="3" max="3" width="11.625" style="941" customWidth="1"/>
    <col min="4" max="4" width="12.375" style="941" customWidth="1"/>
    <col min="5" max="5" width="10.875" style="941" customWidth="1"/>
    <col min="6" max="6" width="11" style="941" customWidth="1"/>
    <col min="7" max="7" width="11.375" style="941" customWidth="1"/>
    <col min="8" max="8" width="9.25" style="941" bestFit="1" customWidth="1"/>
    <col min="9" max="9" width="9.125" style="941" bestFit="1" customWidth="1"/>
    <col min="10" max="10" width="11.25" style="941" customWidth="1"/>
    <col min="11" max="16384" width="9" style="941"/>
  </cols>
  <sheetData>
    <row r="1" spans="1:10">
      <c r="A1" s="1072" t="s">
        <v>1731</v>
      </c>
      <c r="B1" s="1072"/>
      <c r="C1" s="1072"/>
      <c r="E1" s="1243" t="s">
        <v>1733</v>
      </c>
      <c r="F1" s="1085"/>
      <c r="G1" s="1085"/>
      <c r="H1" s="1085"/>
      <c r="I1" s="1085"/>
      <c r="J1" s="1085"/>
    </row>
    <row r="2" spans="1:10">
      <c r="A2" s="1072" t="s">
        <v>668</v>
      </c>
      <c r="B2" s="1072"/>
      <c r="C2" s="1072"/>
    </row>
    <row r="4" spans="1:10" ht="18.75" customHeight="1">
      <c r="A4" s="1084" t="s">
        <v>1831</v>
      </c>
      <c r="B4" s="1084"/>
      <c r="C4" s="1084"/>
      <c r="D4" s="1084"/>
      <c r="E4" s="1084"/>
      <c r="F4" s="1084"/>
      <c r="G4" s="1084"/>
      <c r="H4" s="1084"/>
      <c r="I4" s="1084"/>
      <c r="J4" s="1084"/>
    </row>
    <row r="5" spans="1:10">
      <c r="A5" s="966"/>
      <c r="B5" s="967"/>
      <c r="C5" s="967"/>
      <c r="D5" s="967"/>
      <c r="E5" s="967"/>
      <c r="F5" s="967"/>
      <c r="G5" s="967"/>
    </row>
    <row r="6" spans="1:10">
      <c r="E6" s="1074" t="s">
        <v>808</v>
      </c>
      <c r="F6" s="1074"/>
      <c r="G6" s="1074"/>
      <c r="H6" s="1074"/>
      <c r="I6" s="1074"/>
      <c r="J6" s="1074"/>
    </row>
    <row r="7" spans="1:10" ht="35.25" customHeight="1">
      <c r="A7" s="1083" t="s">
        <v>1684</v>
      </c>
      <c r="B7" s="1083" t="s">
        <v>421</v>
      </c>
      <c r="C7" s="1082" t="s">
        <v>1734</v>
      </c>
      <c r="D7" s="1082" t="s">
        <v>1748</v>
      </c>
      <c r="E7" s="1082"/>
      <c r="F7" s="1082"/>
      <c r="G7" s="1082" t="s">
        <v>1737</v>
      </c>
      <c r="H7" s="1082" t="s">
        <v>1738</v>
      </c>
      <c r="I7" s="1082" t="s">
        <v>1739</v>
      </c>
      <c r="J7" s="1082" t="s">
        <v>1740</v>
      </c>
    </row>
    <row r="8" spans="1:10">
      <c r="A8" s="1083"/>
      <c r="B8" s="1083"/>
      <c r="C8" s="1083"/>
      <c r="D8" s="1082" t="s">
        <v>306</v>
      </c>
      <c r="E8" s="1082" t="s">
        <v>1675</v>
      </c>
      <c r="F8" s="1082"/>
      <c r="G8" s="1082"/>
      <c r="H8" s="1083"/>
      <c r="I8" s="1083"/>
      <c r="J8" s="1083"/>
    </row>
    <row r="9" spans="1:10" ht="123.75" customHeight="1">
      <c r="A9" s="1083"/>
      <c r="B9" s="1083"/>
      <c r="C9" s="1083"/>
      <c r="D9" s="1082"/>
      <c r="E9" s="969" t="s">
        <v>1735</v>
      </c>
      <c r="F9" s="969" t="s">
        <v>1736</v>
      </c>
      <c r="G9" s="1082"/>
      <c r="H9" s="1083"/>
      <c r="I9" s="1083"/>
      <c r="J9" s="1083"/>
    </row>
    <row r="10" spans="1:10" ht="21" customHeight="1">
      <c r="A10" s="389" t="s">
        <v>78</v>
      </c>
      <c r="B10" s="389" t="s">
        <v>79</v>
      </c>
      <c r="C10" s="76">
        <v>1</v>
      </c>
      <c r="D10" s="76">
        <v>2</v>
      </c>
      <c r="E10" s="76">
        <v>3</v>
      </c>
      <c r="F10" s="76">
        <v>4</v>
      </c>
      <c r="G10" s="76">
        <v>5</v>
      </c>
      <c r="H10" s="389">
        <v>6</v>
      </c>
      <c r="I10" s="389">
        <v>7</v>
      </c>
      <c r="J10" s="389">
        <v>8</v>
      </c>
    </row>
    <row r="11" spans="1:10" ht="21" customHeight="1">
      <c r="A11" s="955"/>
      <c r="B11" s="955" t="s">
        <v>306</v>
      </c>
      <c r="C11" s="968">
        <f>SUM(C12:C17)</f>
        <v>42790000</v>
      </c>
      <c r="D11" s="968">
        <f>SUM(D12:D17)</f>
        <v>4128000</v>
      </c>
      <c r="E11" s="968">
        <f>SUM(E12:E17)</f>
        <v>550000</v>
      </c>
      <c r="F11" s="968">
        <f>SUM(F12:F17)</f>
        <v>3578000</v>
      </c>
      <c r="G11" s="968">
        <f t="shared" ref="G11:J11" si="0">SUM(G12:G17)</f>
        <v>25797000</v>
      </c>
      <c r="H11" s="968">
        <f t="shared" si="0"/>
        <v>278888</v>
      </c>
      <c r="I11" s="965">
        <f t="shared" si="0"/>
        <v>0</v>
      </c>
      <c r="J11" s="968">
        <f t="shared" si="0"/>
        <v>29925000</v>
      </c>
    </row>
    <row r="12" spans="1:10" ht="24.95" customHeight="1">
      <c r="A12" s="964">
        <v>1</v>
      </c>
      <c r="B12" s="958" t="s">
        <v>1741</v>
      </c>
      <c r="C12" s="959">
        <v>8550000</v>
      </c>
      <c r="D12" s="959">
        <f>E12+F12</f>
        <v>890600</v>
      </c>
      <c r="E12" s="1014">
        <v>150000</v>
      </c>
      <c r="F12" s="959">
        <f>890600-150000</f>
        <v>740600</v>
      </c>
      <c r="G12" s="959">
        <v>4133959</v>
      </c>
      <c r="H12" s="959">
        <v>33297</v>
      </c>
      <c r="I12" s="959"/>
      <c r="J12" s="959">
        <v>5024559</v>
      </c>
    </row>
    <row r="13" spans="1:10" ht="24.95" customHeight="1">
      <c r="A13" s="964">
        <v>2</v>
      </c>
      <c r="B13" s="958" t="s">
        <v>1742</v>
      </c>
      <c r="C13" s="959">
        <v>6828000</v>
      </c>
      <c r="D13" s="959">
        <f t="shared" ref="D13:D16" si="1">E13+F13</f>
        <v>889600</v>
      </c>
      <c r="E13" s="1014">
        <f>65000+75000</f>
        <v>140000</v>
      </c>
      <c r="F13" s="959">
        <f>889600-140000</f>
        <v>749600</v>
      </c>
      <c r="G13" s="959">
        <v>3829199</v>
      </c>
      <c r="H13" s="959">
        <v>32653</v>
      </c>
      <c r="I13" s="959"/>
      <c r="J13" s="959">
        <v>4718799</v>
      </c>
    </row>
    <row r="14" spans="1:10" ht="24.95" customHeight="1">
      <c r="A14" s="964">
        <v>3</v>
      </c>
      <c r="B14" s="958" t="s">
        <v>1743</v>
      </c>
      <c r="C14" s="959">
        <v>8434000</v>
      </c>
      <c r="D14" s="959">
        <f t="shared" si="1"/>
        <v>419600</v>
      </c>
      <c r="E14" s="1014">
        <f>30000+60000</f>
        <v>90000</v>
      </c>
      <c r="F14" s="959">
        <f>419600-90000</f>
        <v>329600</v>
      </c>
      <c r="G14" s="959">
        <v>4505231</v>
      </c>
      <c r="H14" s="959">
        <v>56101</v>
      </c>
      <c r="I14" s="959"/>
      <c r="J14" s="959">
        <v>4924831</v>
      </c>
    </row>
    <row r="15" spans="1:10" ht="24.95" customHeight="1">
      <c r="A15" s="964">
        <v>4</v>
      </c>
      <c r="B15" s="958" t="s">
        <v>1744</v>
      </c>
      <c r="C15" s="959">
        <v>14699000</v>
      </c>
      <c r="D15" s="959">
        <f t="shared" si="1"/>
        <v>604600</v>
      </c>
      <c r="E15" s="1014">
        <f>20000+45000</f>
        <v>65000</v>
      </c>
      <c r="F15" s="959">
        <f>604600-65000</f>
        <v>539600</v>
      </c>
      <c r="G15" s="959">
        <v>4249246</v>
      </c>
      <c r="H15" s="959">
        <v>91980</v>
      </c>
      <c r="I15" s="959"/>
      <c r="J15" s="959">
        <v>4853846</v>
      </c>
    </row>
    <row r="16" spans="1:10" ht="24.95" customHeight="1">
      <c r="A16" s="964">
        <v>5</v>
      </c>
      <c r="B16" s="958" t="s">
        <v>1745</v>
      </c>
      <c r="C16" s="959">
        <v>1969000</v>
      </c>
      <c r="D16" s="959">
        <f t="shared" si="1"/>
        <v>220600</v>
      </c>
      <c r="E16" s="1014">
        <f>20000+50000</f>
        <v>70000</v>
      </c>
      <c r="F16" s="959">
        <f>220600-70000</f>
        <v>150600</v>
      </c>
      <c r="G16" s="959">
        <v>4669118</v>
      </c>
      <c r="H16" s="959">
        <v>34222</v>
      </c>
      <c r="I16" s="959"/>
      <c r="J16" s="959">
        <v>4889718</v>
      </c>
    </row>
    <row r="17" spans="1:10" ht="24.95" customHeight="1">
      <c r="A17" s="964">
        <v>6</v>
      </c>
      <c r="B17" s="958" t="s">
        <v>1746</v>
      </c>
      <c r="C17" s="959">
        <v>2310000</v>
      </c>
      <c r="D17" s="959">
        <f>E17+F17</f>
        <v>1103000</v>
      </c>
      <c r="E17" s="1014">
        <f>15000+20000</f>
        <v>35000</v>
      </c>
      <c r="F17" s="959">
        <f>1103000-35000</f>
        <v>1068000</v>
      </c>
      <c r="G17" s="959">
        <v>4410247</v>
      </c>
      <c r="H17" s="959">
        <v>30635</v>
      </c>
      <c r="I17" s="959"/>
      <c r="J17" s="959">
        <v>5513247</v>
      </c>
    </row>
    <row r="18" spans="1:10">
      <c r="C18" s="249"/>
      <c r="D18" s="249"/>
      <c r="E18" s="249"/>
      <c r="F18" s="249"/>
      <c r="G18" s="249"/>
      <c r="H18" s="249"/>
      <c r="I18" s="249"/>
      <c r="J18" s="249"/>
    </row>
    <row r="19" spans="1:10">
      <c r="C19" s="249"/>
      <c r="D19" s="249"/>
      <c r="E19" s="249"/>
      <c r="F19" s="249"/>
      <c r="G19" s="249"/>
    </row>
    <row r="20" spans="1:10">
      <c r="C20" s="249"/>
      <c r="D20" s="249"/>
      <c r="E20" s="249"/>
      <c r="F20" s="249"/>
      <c r="G20" s="249"/>
    </row>
    <row r="21" spans="1:10">
      <c r="C21" s="249"/>
      <c r="D21" s="249"/>
      <c r="E21" s="249"/>
      <c r="F21" s="249"/>
      <c r="G21" s="249"/>
    </row>
    <row r="22" spans="1:10">
      <c r="C22" s="249"/>
      <c r="D22" s="249"/>
      <c r="E22" s="249"/>
      <c r="F22" s="249"/>
      <c r="G22" s="249"/>
    </row>
    <row r="23" spans="1:10">
      <c r="C23" s="249"/>
      <c r="D23" s="249"/>
      <c r="E23" s="249"/>
      <c r="F23" s="249"/>
      <c r="G23" s="249"/>
    </row>
    <row r="24" spans="1:10">
      <c r="C24" s="249"/>
      <c r="D24" s="249"/>
      <c r="E24" s="249"/>
      <c r="F24" s="249"/>
      <c r="G24" s="249"/>
    </row>
    <row r="25" spans="1:10">
      <c r="C25" s="249"/>
      <c r="D25" s="249"/>
      <c r="E25" s="249"/>
      <c r="F25" s="249"/>
      <c r="G25" s="249"/>
    </row>
    <row r="26" spans="1:10">
      <c r="C26" s="249"/>
      <c r="D26" s="249"/>
      <c r="E26" s="249"/>
      <c r="F26" s="249"/>
      <c r="G26" s="249"/>
    </row>
    <row r="27" spans="1:10">
      <c r="C27" s="249"/>
      <c r="D27" s="249"/>
      <c r="E27" s="249"/>
      <c r="F27" s="249"/>
      <c r="G27" s="249"/>
    </row>
    <row r="28" spans="1:10">
      <c r="C28" s="249"/>
      <c r="D28" s="249"/>
      <c r="E28" s="249"/>
      <c r="F28" s="249"/>
      <c r="G28" s="249"/>
    </row>
    <row r="29" spans="1:10">
      <c r="C29" s="249"/>
      <c r="D29" s="249"/>
      <c r="E29" s="249"/>
      <c r="F29" s="249"/>
      <c r="G29" s="249"/>
    </row>
    <row r="30" spans="1:10">
      <c r="C30" s="249"/>
      <c r="D30" s="249"/>
      <c r="E30" s="249"/>
      <c r="F30" s="249"/>
      <c r="G30" s="249"/>
    </row>
    <row r="31" spans="1:10">
      <c r="C31" s="249"/>
      <c r="D31" s="249"/>
      <c r="E31" s="249"/>
      <c r="F31" s="249"/>
      <c r="G31" s="249"/>
    </row>
    <row r="32" spans="1:10">
      <c r="C32" s="249"/>
      <c r="D32" s="249"/>
      <c r="E32" s="249"/>
      <c r="F32" s="249"/>
      <c r="G32" s="249"/>
    </row>
    <row r="33" spans="3:7">
      <c r="C33" s="249"/>
      <c r="D33" s="249"/>
      <c r="E33" s="249"/>
      <c r="F33" s="249"/>
      <c r="G33" s="249"/>
    </row>
    <row r="34" spans="3:7">
      <c r="C34" s="249"/>
      <c r="D34" s="249"/>
      <c r="E34" s="249"/>
      <c r="F34" s="249"/>
      <c r="G34" s="249"/>
    </row>
    <row r="35" spans="3:7">
      <c r="C35" s="249"/>
      <c r="D35" s="249"/>
      <c r="E35" s="249"/>
      <c r="F35" s="249"/>
      <c r="G35" s="249"/>
    </row>
    <row r="36" spans="3:7">
      <c r="C36" s="249"/>
      <c r="D36" s="249"/>
      <c r="E36" s="249"/>
      <c r="F36" s="249"/>
      <c r="G36" s="249"/>
    </row>
    <row r="37" spans="3:7">
      <c r="C37" s="249"/>
      <c r="D37" s="249"/>
      <c r="E37" s="249"/>
      <c r="F37" s="249"/>
      <c r="G37" s="249"/>
    </row>
    <row r="38" spans="3:7">
      <c r="C38" s="249"/>
      <c r="D38" s="249"/>
      <c r="E38" s="249"/>
      <c r="F38" s="249"/>
      <c r="G38" s="249"/>
    </row>
    <row r="39" spans="3:7">
      <c r="C39" s="249"/>
      <c r="D39" s="249"/>
      <c r="E39" s="249"/>
      <c r="F39" s="249"/>
      <c r="G39" s="249"/>
    </row>
    <row r="40" spans="3:7">
      <c r="C40" s="249"/>
      <c r="D40" s="249"/>
      <c r="E40" s="249"/>
      <c r="F40" s="249"/>
      <c r="G40" s="249"/>
    </row>
    <row r="41" spans="3:7">
      <c r="C41" s="249"/>
      <c r="D41" s="249"/>
      <c r="E41" s="249"/>
      <c r="F41" s="249"/>
      <c r="G41" s="249"/>
    </row>
    <row r="42" spans="3:7">
      <c r="C42" s="249"/>
      <c r="D42" s="249"/>
      <c r="E42" s="249"/>
      <c r="F42" s="249"/>
      <c r="G42" s="249"/>
    </row>
    <row r="43" spans="3:7">
      <c r="C43" s="249"/>
      <c r="D43" s="249"/>
      <c r="E43" s="249"/>
      <c r="F43" s="249"/>
      <c r="G43" s="249"/>
    </row>
    <row r="44" spans="3:7">
      <c r="C44" s="249"/>
      <c r="D44" s="249"/>
      <c r="E44" s="249"/>
      <c r="F44" s="249"/>
      <c r="G44" s="249"/>
    </row>
    <row r="45" spans="3:7">
      <c r="C45" s="249"/>
      <c r="D45" s="249"/>
      <c r="E45" s="249"/>
      <c r="F45" s="249"/>
      <c r="G45" s="249"/>
    </row>
    <row r="46" spans="3:7">
      <c r="C46" s="249"/>
      <c r="D46" s="249"/>
      <c r="E46" s="249"/>
      <c r="F46" s="249"/>
      <c r="G46" s="249"/>
    </row>
    <row r="47" spans="3:7">
      <c r="C47" s="249"/>
      <c r="D47" s="249"/>
      <c r="E47" s="249"/>
      <c r="F47" s="249"/>
      <c r="G47" s="249"/>
    </row>
    <row r="48" spans="3:7">
      <c r="C48" s="249"/>
      <c r="D48" s="249"/>
      <c r="E48" s="249"/>
      <c r="F48" s="249"/>
      <c r="G48" s="249"/>
    </row>
    <row r="49" spans="3:7">
      <c r="C49" s="249"/>
      <c r="D49" s="249"/>
      <c r="E49" s="249"/>
      <c r="F49" s="249"/>
      <c r="G49" s="249"/>
    </row>
    <row r="50" spans="3:7">
      <c r="C50" s="249"/>
      <c r="D50" s="249"/>
      <c r="E50" s="249"/>
      <c r="F50" s="249"/>
      <c r="G50" s="249"/>
    </row>
    <row r="51" spans="3:7">
      <c r="C51" s="249"/>
      <c r="D51" s="249"/>
      <c r="E51" s="249"/>
      <c r="F51" s="249"/>
      <c r="G51" s="249"/>
    </row>
    <row r="52" spans="3:7">
      <c r="C52" s="249"/>
      <c r="D52" s="249"/>
      <c r="E52" s="249"/>
      <c r="F52" s="249"/>
      <c r="G52" s="249"/>
    </row>
    <row r="53" spans="3:7">
      <c r="C53" s="249"/>
      <c r="D53" s="249"/>
      <c r="E53" s="249"/>
      <c r="F53" s="249"/>
      <c r="G53" s="249"/>
    </row>
    <row r="54" spans="3:7">
      <c r="C54" s="249"/>
      <c r="D54" s="249"/>
      <c r="E54" s="249"/>
      <c r="F54" s="249"/>
      <c r="G54" s="249"/>
    </row>
    <row r="55" spans="3:7">
      <c r="C55" s="249"/>
      <c r="D55" s="249"/>
      <c r="E55" s="249"/>
      <c r="F55" s="249"/>
      <c r="G55" s="249"/>
    </row>
    <row r="56" spans="3:7">
      <c r="C56" s="249"/>
      <c r="D56" s="249"/>
      <c r="E56" s="249"/>
      <c r="F56" s="249"/>
      <c r="G56" s="249"/>
    </row>
    <row r="57" spans="3:7">
      <c r="C57" s="249"/>
      <c r="D57" s="249"/>
      <c r="E57" s="249"/>
      <c r="F57" s="249"/>
      <c r="G57" s="249"/>
    </row>
    <row r="58" spans="3:7">
      <c r="C58" s="249"/>
      <c r="D58" s="249"/>
      <c r="E58" s="249"/>
      <c r="F58" s="249"/>
      <c r="G58" s="249"/>
    </row>
  </sheetData>
  <mergeCells count="15">
    <mergeCell ref="J7:J9"/>
    <mergeCell ref="E6:J6"/>
    <mergeCell ref="A4:J4"/>
    <mergeCell ref="E1:J1"/>
    <mergeCell ref="E8:F8"/>
    <mergeCell ref="D7:F7"/>
    <mergeCell ref="G7:G9"/>
    <mergeCell ref="H7:H9"/>
    <mergeCell ref="I7:I9"/>
    <mergeCell ref="A1:C1"/>
    <mergeCell ref="A2:C2"/>
    <mergeCell ref="A7:A9"/>
    <mergeCell ref="B7:B9"/>
    <mergeCell ref="C7:C9"/>
    <mergeCell ref="D8:D9"/>
  </mergeCells>
  <pageMargins left="0.55000000000000004" right="0.45" top="0.25" bottom="0.25" header="0.3" footer="0.3"/>
  <pageSetup paperSize="9" orientation="landscape" verticalDpi="0" r:id="rId1"/>
  <drawing r:id="rId2"/>
</worksheet>
</file>

<file path=xl/worksheets/sheet11.xml><?xml version="1.0" encoding="utf-8"?>
<worksheet xmlns="http://schemas.openxmlformats.org/spreadsheetml/2006/main" xmlns:r="http://schemas.openxmlformats.org/officeDocument/2006/relationships">
  <sheetPr>
    <tabColor rgb="FF00B0F0"/>
  </sheetPr>
  <dimension ref="A1:G35"/>
  <sheetViews>
    <sheetView topLeftCell="A4" workbookViewId="0">
      <selection activeCell="D20" sqref="D20"/>
    </sheetView>
  </sheetViews>
  <sheetFormatPr defaultRowHeight="15"/>
  <cols>
    <col min="1" max="1" width="4" style="33" customWidth="1"/>
    <col min="2" max="2" width="39.5" style="33" customWidth="1"/>
    <col min="3" max="5" width="11.625" style="33" customWidth="1"/>
    <col min="6" max="6" width="16.5" style="33" customWidth="1"/>
    <col min="7" max="7" width="17.125" style="33" customWidth="1"/>
    <col min="8" max="16384" width="9" style="33"/>
  </cols>
  <sheetData>
    <row r="1" spans="1:7" ht="15.75">
      <c r="B1" s="34" t="s">
        <v>667</v>
      </c>
    </row>
    <row r="2" spans="1:7" ht="15.75">
      <c r="B2" s="34" t="s">
        <v>668</v>
      </c>
    </row>
    <row r="4" spans="1:7" ht="25.5" customHeight="1">
      <c r="B4" s="1016" t="s">
        <v>1606</v>
      </c>
      <c r="C4" s="1016"/>
      <c r="D4" s="1016"/>
      <c r="E4" s="1016"/>
    </row>
    <row r="5" spans="1:7" ht="15.75">
      <c r="B5" s="88"/>
    </row>
    <row r="6" spans="1:7" ht="20.25" customHeight="1" thickBot="1">
      <c r="C6" s="1057" t="s">
        <v>808</v>
      </c>
      <c r="D6" s="1057"/>
      <c r="E6" s="1057"/>
    </row>
    <row r="7" spans="1:7" ht="27" customHeight="1" thickBot="1">
      <c r="A7" s="1086" t="s">
        <v>76</v>
      </c>
      <c r="B7" s="1054" t="s">
        <v>665</v>
      </c>
      <c r="C7" s="1054" t="s">
        <v>1233</v>
      </c>
      <c r="D7" s="1054"/>
      <c r="E7" s="1054" t="s">
        <v>1238</v>
      </c>
      <c r="G7" s="681">
        <v>7788652</v>
      </c>
    </row>
    <row r="8" spans="1:7" ht="35.25" customHeight="1" thickBot="1">
      <c r="A8" s="1025"/>
      <c r="B8" s="1054"/>
      <c r="C8" s="900" t="s">
        <v>773</v>
      </c>
      <c r="D8" s="897" t="s">
        <v>830</v>
      </c>
      <c r="E8" s="1054"/>
      <c r="F8" s="33">
        <f>D9-'Biểu 02'!D25</f>
        <v>-0.49747975170612335</v>
      </c>
      <c r="G8" s="682">
        <v>1495560</v>
      </c>
    </row>
    <row r="9" spans="1:7" ht="25.5" customHeight="1" thickBot="1">
      <c r="A9" s="39"/>
      <c r="B9" s="41" t="s">
        <v>666</v>
      </c>
      <c r="C9" s="38">
        <f>C10+C14+C26</f>
        <v>30352999.91047572</v>
      </c>
      <c r="D9" s="38">
        <f>D10+D14+D26</f>
        <v>77496999.502520248</v>
      </c>
      <c r="E9" s="38">
        <f>E10+E14+E26</f>
        <v>29939999.506347589</v>
      </c>
      <c r="F9" s="33">
        <v>29440000</v>
      </c>
      <c r="G9" s="683">
        <v>9759403</v>
      </c>
    </row>
    <row r="10" spans="1:7" ht="20.25" customHeight="1" thickBot="1">
      <c r="A10" s="897" t="s">
        <v>84</v>
      </c>
      <c r="B10" s="38" t="s">
        <v>216</v>
      </c>
      <c r="C10" s="38">
        <f>SUM(C11:C13)</f>
        <v>1000000</v>
      </c>
      <c r="D10" s="38">
        <f>SUM(D11:D13)</f>
        <v>43436000</v>
      </c>
      <c r="E10" s="38">
        <f>SUM(E11:E13)</f>
        <v>1000000</v>
      </c>
      <c r="F10" s="33">
        <f>F9-E9</f>
        <v>-499999.50634758919</v>
      </c>
      <c r="G10" s="683">
        <v>1814612</v>
      </c>
    </row>
    <row r="11" spans="1:7" ht="24" customHeight="1" thickBot="1">
      <c r="A11" s="677" t="s">
        <v>550</v>
      </c>
      <c r="B11" s="39" t="s">
        <v>1655</v>
      </c>
      <c r="C11" s="39">
        <f>'DT chi xã 2019'!U68</f>
        <v>1000000</v>
      </c>
      <c r="D11" s="39">
        <f>C11</f>
        <v>1000000</v>
      </c>
      <c r="E11" s="39">
        <f>'Bieu 03'!M21</f>
        <v>1000000</v>
      </c>
      <c r="G11" s="683">
        <v>575966</v>
      </c>
    </row>
    <row r="12" spans="1:7" ht="23.25" customHeight="1" thickBot="1">
      <c r="A12" s="677" t="s">
        <v>550</v>
      </c>
      <c r="B12" s="39" t="s">
        <v>1656</v>
      </c>
      <c r="C12" s="39"/>
      <c r="D12" s="39">
        <f>40500000+696000</f>
        <v>41196000</v>
      </c>
      <c r="E12" s="39"/>
      <c r="G12" s="683">
        <v>434064</v>
      </c>
    </row>
    <row r="13" spans="1:7" ht="40.5" customHeight="1" thickBot="1">
      <c r="A13" s="677" t="s">
        <v>550</v>
      </c>
      <c r="B13" s="329" t="s">
        <v>1657</v>
      </c>
      <c r="C13" s="39"/>
      <c r="D13" s="928">
        <f>'Biểu 02'!D29</f>
        <v>1240000</v>
      </c>
      <c r="E13" s="39"/>
      <c r="G13" s="683">
        <v>249500</v>
      </c>
    </row>
    <row r="14" spans="1:7" ht="25.5" customHeight="1" thickBot="1">
      <c r="A14" s="897" t="s">
        <v>85</v>
      </c>
      <c r="B14" s="41" t="s">
        <v>1642</v>
      </c>
      <c r="C14" s="38">
        <f>C15+C18+C19+C20+C21+C23+C24</f>
        <v>28834000.205592852</v>
      </c>
      <c r="D14" s="38">
        <f>D15+D18+D19+D20+D22+D23+D24</f>
        <v>33541999.502520248</v>
      </c>
      <c r="E14" s="38">
        <f>E15+E18+E19+E20+E22+E23+E24+E25</f>
        <v>28415195.593909997</v>
      </c>
      <c r="F14" s="33">
        <f>D14/C14%</f>
        <v>116.32794361988732</v>
      </c>
      <c r="G14" s="683">
        <v>192500</v>
      </c>
    </row>
    <row r="15" spans="1:7" ht="23.25" customHeight="1" thickBot="1">
      <c r="A15" s="76">
        <v>1</v>
      </c>
      <c r="B15" s="42" t="s">
        <v>1643</v>
      </c>
      <c r="C15" s="613">
        <f>C16+C17</f>
        <v>1479228.0385577497</v>
      </c>
      <c r="D15" s="613">
        <f>D16+D17</f>
        <v>3695597.0385577497</v>
      </c>
      <c r="E15" s="613">
        <f>E16+E17</f>
        <v>1453432.5204099999</v>
      </c>
      <c r="F15" s="33">
        <v>34119000</v>
      </c>
      <c r="G15" s="683">
        <v>239500</v>
      </c>
    </row>
    <row r="16" spans="1:7" ht="20.25" customHeight="1" thickBot="1">
      <c r="A16" s="76" t="s">
        <v>550</v>
      </c>
      <c r="B16" s="42" t="s">
        <v>190</v>
      </c>
      <c r="C16" s="613">
        <f>'DT chi xã 2019'!U61-'TH chi xa 2020'!C17</f>
        <v>1359228.0385577497</v>
      </c>
      <c r="D16" s="613">
        <f>C16+2216369</f>
        <v>3575597.0385577497</v>
      </c>
      <c r="E16" s="613">
        <f>'DT chi xã 2020'!U70-'TH chi xa 2020'!E17</f>
        <v>853432.52040999988</v>
      </c>
      <c r="F16" s="620">
        <f>D14/F15%</f>
        <v>98.308858707817492</v>
      </c>
      <c r="G16" s="683">
        <v>113000</v>
      </c>
    </row>
    <row r="17" spans="1:7" ht="21" customHeight="1" thickBot="1">
      <c r="A17" s="76" t="s">
        <v>550</v>
      </c>
      <c r="B17" s="42" t="s">
        <v>191</v>
      </c>
      <c r="C17" s="613">
        <v>120000</v>
      </c>
      <c r="D17" s="613">
        <v>120000</v>
      </c>
      <c r="E17" s="613">
        <v>600000</v>
      </c>
      <c r="F17" s="33">
        <v>100</v>
      </c>
      <c r="G17" s="683">
        <v>136430</v>
      </c>
    </row>
    <row r="18" spans="1:7" ht="22.5" customHeight="1" thickBot="1">
      <c r="A18" s="76">
        <v>2</v>
      </c>
      <c r="B18" s="42" t="s">
        <v>1644</v>
      </c>
      <c r="C18" s="613">
        <f>'DT chi xã 2019'!U30-C19</f>
        <v>505120</v>
      </c>
      <c r="D18" s="613">
        <f>C18+120000</f>
        <v>625120</v>
      </c>
      <c r="E18" s="613">
        <f>'DT chi xã 2020'!U35-E19</f>
        <v>665120</v>
      </c>
      <c r="F18" s="894">
        <f>F17-F16</f>
        <v>1.6911412921825075</v>
      </c>
      <c r="G18" s="683">
        <v>56000</v>
      </c>
    </row>
    <row r="19" spans="1:7" ht="20.25" customHeight="1" thickBot="1">
      <c r="A19" s="76">
        <v>3</v>
      </c>
      <c r="B19" s="42" t="s">
        <v>1645</v>
      </c>
      <c r="C19" s="613">
        <v>180000</v>
      </c>
      <c r="D19" s="613">
        <v>180000</v>
      </c>
      <c r="E19" s="613">
        <v>200000</v>
      </c>
      <c r="G19" s="683">
        <v>71000</v>
      </c>
    </row>
    <row r="20" spans="1:7" ht="21" customHeight="1" thickBot="1">
      <c r="A20" s="76">
        <v>4</v>
      </c>
      <c r="B20" s="42" t="s">
        <v>232</v>
      </c>
      <c r="C20" s="613">
        <f>'DT chi xã 2019'!U33</f>
        <v>2014636.2</v>
      </c>
      <c r="D20" s="613">
        <f>C20+34200</f>
        <v>2048836.2</v>
      </c>
      <c r="E20" s="613">
        <f>'DT chi xã 2020'!U41</f>
        <v>2125364.4</v>
      </c>
      <c r="G20" s="683">
        <v>51000</v>
      </c>
    </row>
    <row r="21" spans="1:7" ht="23.25" customHeight="1" thickBot="1">
      <c r="A21" s="76">
        <v>5</v>
      </c>
      <c r="B21" s="42" t="s">
        <v>1646</v>
      </c>
      <c r="C21" s="613">
        <f>C22</f>
        <v>21545830.2639625</v>
      </c>
      <c r="D21" s="613">
        <f>D22</f>
        <v>22577071.2639625</v>
      </c>
      <c r="E21" s="613">
        <f>E22</f>
        <v>20785422.045499999</v>
      </c>
      <c r="G21" s="683">
        <v>1000000</v>
      </c>
    </row>
    <row r="22" spans="1:7" ht="18.75" customHeight="1" thickBot="1">
      <c r="A22" s="76" t="s">
        <v>550</v>
      </c>
      <c r="B22" s="42" t="s">
        <v>1647</v>
      </c>
      <c r="C22" s="613">
        <f>'DT chi xã 2019'!U9</f>
        <v>21545830.2639625</v>
      </c>
      <c r="D22" s="613">
        <f>1031241+C22</f>
        <v>22577071.2639625</v>
      </c>
      <c r="E22" s="613">
        <f>'DT chi xã 2020'!U8</f>
        <v>20785422.045499999</v>
      </c>
      <c r="G22" s="683">
        <v>40000</v>
      </c>
    </row>
    <row r="23" spans="1:7" ht="20.25" customHeight="1" thickBot="1">
      <c r="A23" s="76">
        <v>6</v>
      </c>
      <c r="B23" s="42" t="s">
        <v>1648</v>
      </c>
      <c r="C23" s="613">
        <f>'DT chi xã 2019'!U46+'DT chi xã 2019'!U54</f>
        <v>1278183.7120000001</v>
      </c>
      <c r="D23" s="613">
        <v>1278184</v>
      </c>
      <c r="E23" s="613">
        <f>'DT chi xã 2020'!U54+'DT chi xã 2020'!U63</f>
        <v>1408666.628</v>
      </c>
      <c r="G23" s="683">
        <v>100000</v>
      </c>
    </row>
    <row r="24" spans="1:7" ht="18.75" customHeight="1" thickBot="1">
      <c r="A24" s="76">
        <v>7</v>
      </c>
      <c r="B24" s="42" t="s">
        <v>1649</v>
      </c>
      <c r="C24" s="613">
        <f>'DT chi xã 2019'!U66+'DT chi xã 2019'!U67</f>
        <v>1831001.9910726012</v>
      </c>
      <c r="D24" s="613">
        <f>1831002+1409195-103006</f>
        <v>3137191</v>
      </c>
      <c r="E24" s="613">
        <v>783190</v>
      </c>
      <c r="G24" s="683">
        <v>104000</v>
      </c>
    </row>
    <row r="25" spans="1:7" ht="18.75" customHeight="1">
      <c r="A25" s="76">
        <v>8</v>
      </c>
      <c r="B25" s="42" t="s">
        <v>1650</v>
      </c>
      <c r="C25" s="613"/>
      <c r="D25" s="613"/>
      <c r="E25" s="613">
        <f>'DT chi xã 2020'!U77</f>
        <v>994000</v>
      </c>
      <c r="G25" s="893"/>
    </row>
    <row r="26" spans="1:7" s="101" customFormat="1" ht="21.75" customHeight="1">
      <c r="A26" s="897" t="s">
        <v>565</v>
      </c>
      <c r="B26" s="41" t="s">
        <v>1651</v>
      </c>
      <c r="C26" s="929">
        <f>'DT chi xã 2019'!U69</f>
        <v>518999.70488286874</v>
      </c>
      <c r="D26" s="929">
        <v>519000</v>
      </c>
      <c r="E26" s="929">
        <f>'DT chi xã 2020'!U79</f>
        <v>524803.912437591</v>
      </c>
      <c r="F26" s="33"/>
      <c r="G26" s="101">
        <f>SUM(G7:G24)</f>
        <v>24221187</v>
      </c>
    </row>
    <row r="27" spans="1:7" ht="24.75" customHeight="1">
      <c r="B27" s="1087" t="s">
        <v>1239</v>
      </c>
      <c r="C27" s="1087"/>
      <c r="D27" s="1087"/>
      <c r="E27" s="1087"/>
    </row>
    <row r="28" spans="1:7" ht="15.75">
      <c r="B28" s="182" t="s">
        <v>367</v>
      </c>
      <c r="F28" s="33">
        <f>E9-E10-E26</f>
        <v>28415195.593909997</v>
      </c>
    </row>
    <row r="29" spans="1:7" ht="15.75">
      <c r="B29" s="1017" t="s">
        <v>305</v>
      </c>
      <c r="C29" s="1017"/>
      <c r="D29" s="1017"/>
      <c r="E29" s="1017"/>
    </row>
    <row r="30" spans="1:7">
      <c r="B30" s="25"/>
    </row>
    <row r="31" spans="1:7">
      <c r="B31" s="25"/>
    </row>
    <row r="32" spans="1:7">
      <c r="B32" s="386"/>
    </row>
    <row r="33" spans="2:5" ht="15.75">
      <c r="B33" s="20"/>
    </row>
    <row r="34" spans="2:5" ht="15.75">
      <c r="B34" s="18"/>
    </row>
    <row r="35" spans="2:5" ht="15.75">
      <c r="B35" s="1017" t="s">
        <v>1628</v>
      </c>
      <c r="C35" s="1017"/>
      <c r="D35" s="1017"/>
      <c r="E35" s="1017"/>
    </row>
  </sheetData>
  <mergeCells count="9">
    <mergeCell ref="A7:A8"/>
    <mergeCell ref="B4:E4"/>
    <mergeCell ref="B27:E27"/>
    <mergeCell ref="B29:E29"/>
    <mergeCell ref="B35:E35"/>
    <mergeCell ref="C6:E6"/>
    <mergeCell ref="E7:E8"/>
    <mergeCell ref="B7:B8"/>
    <mergeCell ref="C7:D7"/>
  </mergeCells>
  <phoneticPr fontId="0" type="noConversion"/>
  <pageMargins left="0.94" right="0.75" top="0.34" bottom="0.25" header="0.48" footer="0.5"/>
  <pageSetup paperSize="9" orientation="portrait" verticalDpi="180" r:id="rId1"/>
  <headerFooter alignWithMargins="0"/>
  <drawing r:id="rId2"/>
</worksheet>
</file>

<file path=xl/worksheets/sheet12.xml><?xml version="1.0" encoding="utf-8"?>
<worksheet xmlns="http://schemas.openxmlformats.org/spreadsheetml/2006/main" xmlns:r="http://schemas.openxmlformats.org/officeDocument/2006/relationships">
  <sheetPr>
    <tabColor rgb="FF00B0F0"/>
  </sheetPr>
  <dimension ref="A1:AB54"/>
  <sheetViews>
    <sheetView topLeftCell="A20" workbookViewId="0">
      <selection activeCell="U39" sqref="U39"/>
    </sheetView>
  </sheetViews>
  <sheetFormatPr defaultRowHeight="15"/>
  <cols>
    <col min="1" max="1" width="3.375" style="147" customWidth="1"/>
    <col min="2" max="2" width="18.75" style="145" customWidth="1"/>
    <col min="3" max="3" width="8.375" style="145" customWidth="1"/>
    <col min="4" max="4" width="7.875" style="145" hidden="1" customWidth="1"/>
    <col min="5" max="5" width="8.75" style="145" hidden="1" customWidth="1"/>
    <col min="6" max="6" width="9.125" style="145" customWidth="1"/>
    <col min="7" max="7" width="7.5" style="145" customWidth="1"/>
    <col min="8" max="8" width="8.5" style="145" hidden="1" customWidth="1"/>
    <col min="9" max="9" width="8.5" style="145" customWidth="1"/>
    <col min="10" max="10" width="9" style="145" customWidth="1"/>
    <col min="11" max="11" width="9.125" style="145" hidden="1" customWidth="1"/>
    <col min="12" max="12" width="8.75" style="145" customWidth="1"/>
    <col min="13" max="13" width="6.875" style="145" customWidth="1"/>
    <col min="14" max="14" width="8" style="145" hidden="1" customWidth="1"/>
    <col min="15" max="15" width="7.875" style="145" customWidth="1"/>
    <col min="16" max="16" width="6.625" style="145" customWidth="1"/>
    <col min="17" max="17" width="8.375" style="145" hidden="1" customWidth="1"/>
    <col min="18" max="18" width="8.875" style="145" customWidth="1"/>
    <col min="19" max="19" width="7.875" style="145" customWidth="1"/>
    <col min="20" max="20" width="2.125" style="145" hidden="1" customWidth="1"/>
    <col min="21" max="22" width="7.875" style="145" customWidth="1"/>
    <col min="23" max="23" width="9.75" style="145" customWidth="1"/>
    <col min="24" max="24" width="8.25" style="145" customWidth="1"/>
    <col min="25" max="25" width="12.875" style="145" bestFit="1" customWidth="1"/>
    <col min="26" max="26" width="9.875" style="145" bestFit="1" customWidth="1"/>
    <col min="27" max="16384" width="9" style="145"/>
  </cols>
  <sheetData>
    <row r="1" spans="1:28" ht="17.25">
      <c r="A1" s="406" t="s">
        <v>438</v>
      </c>
      <c r="F1" s="146"/>
      <c r="G1" s="1092"/>
      <c r="H1" s="1092"/>
      <c r="I1" s="1092"/>
      <c r="J1" s="1092"/>
      <c r="K1" s="1092"/>
      <c r="L1" s="1092"/>
      <c r="M1" s="1092"/>
      <c r="N1" s="1092"/>
      <c r="O1" s="1092"/>
      <c r="P1" s="1092"/>
      <c r="Q1" s="1092"/>
      <c r="R1" s="1092"/>
      <c r="S1" s="1092"/>
      <c r="T1" s="1092"/>
      <c r="U1" s="1092"/>
      <c r="V1" s="146"/>
      <c r="W1" s="146"/>
    </row>
    <row r="2" spans="1:28" ht="17.25">
      <c r="A2" s="906" t="s">
        <v>674</v>
      </c>
      <c r="F2" s="901"/>
      <c r="G2" s="901"/>
      <c r="H2" s="901"/>
      <c r="I2" s="901"/>
      <c r="J2" s="901"/>
      <c r="K2" s="901"/>
      <c r="L2" s="901"/>
      <c r="M2" s="901"/>
      <c r="N2" s="901"/>
      <c r="O2" s="901"/>
      <c r="P2" s="901"/>
      <c r="Q2" s="901"/>
      <c r="R2" s="901"/>
      <c r="S2" s="901"/>
      <c r="T2" s="901"/>
      <c r="U2" s="901"/>
      <c r="V2" s="901"/>
      <c r="W2" s="901"/>
    </row>
    <row r="3" spans="1:28" ht="7.5" customHeight="1">
      <c r="A3" s="906"/>
      <c r="E3" s="49"/>
      <c r="F3" s="901"/>
      <c r="G3" s="901"/>
      <c r="H3" s="901"/>
      <c r="I3" s="901"/>
      <c r="J3" s="901"/>
      <c r="K3" s="901"/>
      <c r="L3" s="901"/>
      <c r="M3" s="901"/>
      <c r="N3" s="901"/>
      <c r="O3" s="901"/>
      <c r="P3" s="901"/>
      <c r="Q3" s="901"/>
      <c r="R3" s="901"/>
      <c r="S3" s="901"/>
      <c r="T3" s="901"/>
      <c r="U3" s="901"/>
      <c r="V3" s="901"/>
      <c r="W3" s="901"/>
    </row>
    <row r="4" spans="1:28" ht="17.25">
      <c r="A4" s="906"/>
      <c r="C4" s="1092" t="s">
        <v>1607</v>
      </c>
      <c r="D4" s="1092"/>
      <c r="E4" s="1092"/>
      <c r="F4" s="1092"/>
      <c r="G4" s="1092"/>
      <c r="H4" s="1092"/>
      <c r="I4" s="1092"/>
      <c r="J4" s="1092"/>
      <c r="K4" s="1092"/>
      <c r="L4" s="1092"/>
      <c r="M4" s="1092"/>
      <c r="N4" s="1092"/>
      <c r="O4" s="1092"/>
      <c r="P4" s="1092"/>
      <c r="Q4" s="1092"/>
      <c r="R4" s="1092"/>
      <c r="S4" s="1092"/>
      <c r="T4" s="1092"/>
      <c r="U4" s="1092"/>
      <c r="V4" s="146"/>
      <c r="W4" s="146"/>
      <c r="X4" s="146"/>
      <c r="Y4" s="146"/>
      <c r="Z4" s="146"/>
      <c r="AA4" s="146"/>
      <c r="AB4" s="146"/>
    </row>
    <row r="5" spans="1:28" ht="16.5">
      <c r="B5" s="148"/>
      <c r="C5" s="148"/>
      <c r="D5" s="148"/>
      <c r="E5" s="148"/>
      <c r="R5" s="49"/>
      <c r="U5" s="1093" t="s">
        <v>669</v>
      </c>
      <c r="V5" s="1093"/>
      <c r="W5" s="1093"/>
      <c r="X5" s="1093"/>
    </row>
    <row r="6" spans="1:28" s="149" customFormat="1" ht="18" customHeight="1">
      <c r="A6" s="1088" t="s">
        <v>76</v>
      </c>
      <c r="B6" s="1089" t="s">
        <v>73</v>
      </c>
      <c r="C6" s="1090" t="s">
        <v>27</v>
      </c>
      <c r="D6" s="1090" t="s">
        <v>511</v>
      </c>
      <c r="E6" s="1094" t="s">
        <v>750</v>
      </c>
      <c r="F6" s="1095"/>
      <c r="G6" s="1096"/>
      <c r="H6" s="1097" t="s">
        <v>751</v>
      </c>
      <c r="I6" s="1098"/>
      <c r="J6" s="1099"/>
      <c r="K6" s="902"/>
      <c r="L6" s="1089" t="s">
        <v>108</v>
      </c>
      <c r="M6" s="1089"/>
      <c r="N6" s="903"/>
      <c r="O6" s="1089" t="s">
        <v>109</v>
      </c>
      <c r="P6" s="1089"/>
      <c r="Q6" s="903"/>
      <c r="R6" s="1089" t="s">
        <v>110</v>
      </c>
      <c r="S6" s="1089"/>
      <c r="T6" s="903"/>
      <c r="U6" s="1088" t="s">
        <v>571</v>
      </c>
      <c r="V6" s="1088"/>
      <c r="W6" s="1088" t="s">
        <v>420</v>
      </c>
      <c r="X6" s="1088"/>
    </row>
    <row r="7" spans="1:28" s="149" customFormat="1" ht="44.25" customHeight="1">
      <c r="A7" s="1088"/>
      <c r="B7" s="1089"/>
      <c r="C7" s="1091"/>
      <c r="D7" s="1091"/>
      <c r="E7" s="912" t="s">
        <v>1608</v>
      </c>
      <c r="F7" s="913" t="s">
        <v>59</v>
      </c>
      <c r="G7" s="913" t="s">
        <v>524</v>
      </c>
      <c r="H7" s="912" t="s">
        <v>1608</v>
      </c>
      <c r="I7" s="913" t="s">
        <v>59</v>
      </c>
      <c r="J7" s="913" t="s">
        <v>524</v>
      </c>
      <c r="K7" s="912" t="s">
        <v>1608</v>
      </c>
      <c r="L7" s="913" t="s">
        <v>59</v>
      </c>
      <c r="M7" s="913" t="s">
        <v>524</v>
      </c>
      <c r="N7" s="912" t="s">
        <v>1608</v>
      </c>
      <c r="O7" s="913" t="s">
        <v>59</v>
      </c>
      <c r="P7" s="913" t="s">
        <v>524</v>
      </c>
      <c r="Q7" s="912" t="s">
        <v>1608</v>
      </c>
      <c r="R7" s="913" t="s">
        <v>59</v>
      </c>
      <c r="S7" s="913" t="s">
        <v>524</v>
      </c>
      <c r="T7" s="912" t="s">
        <v>1608</v>
      </c>
      <c r="U7" s="913" t="s">
        <v>59</v>
      </c>
      <c r="V7" s="913" t="s">
        <v>752</v>
      </c>
      <c r="W7" s="913" t="s">
        <v>59</v>
      </c>
      <c r="X7" s="913" t="s">
        <v>787</v>
      </c>
    </row>
    <row r="8" spans="1:28" s="152" customFormat="1">
      <c r="A8" s="903">
        <v>1</v>
      </c>
      <c r="B8" s="150" t="s">
        <v>71</v>
      </c>
      <c r="C8" s="150">
        <f>C9+C15</f>
        <v>0</v>
      </c>
      <c r="D8" s="150">
        <f>D9+D15</f>
        <v>0</v>
      </c>
      <c r="E8" s="150">
        <f>E9+E12+E13</f>
        <v>7882256</v>
      </c>
      <c r="F8" s="151">
        <f t="shared" ref="F8:W8" si="0">F9+F12+F13+F15</f>
        <v>8049000</v>
      </c>
      <c r="G8" s="151">
        <f t="shared" si="0"/>
        <v>226000</v>
      </c>
      <c r="H8" s="151">
        <f t="shared" si="0"/>
        <v>3951985</v>
      </c>
      <c r="I8" s="151">
        <f t="shared" si="0"/>
        <v>4393000</v>
      </c>
      <c r="J8" s="151">
        <f t="shared" si="0"/>
        <v>188000</v>
      </c>
      <c r="K8" s="151">
        <f t="shared" si="0"/>
        <v>671890</v>
      </c>
      <c r="L8" s="151">
        <f t="shared" si="0"/>
        <v>820000</v>
      </c>
      <c r="M8" s="151">
        <f t="shared" si="0"/>
        <v>30000</v>
      </c>
      <c r="N8" s="151">
        <f t="shared" si="0"/>
        <v>591998</v>
      </c>
      <c r="O8" s="151">
        <f t="shared" si="0"/>
        <v>614000</v>
      </c>
      <c r="P8" s="151">
        <f>P9+P12+P13+P15</f>
        <v>30000</v>
      </c>
      <c r="Q8" s="151">
        <f>Q9+Q12+Q13+Q15</f>
        <v>1085888</v>
      </c>
      <c r="R8" s="151">
        <f t="shared" si="0"/>
        <v>969000</v>
      </c>
      <c r="S8" s="151">
        <f t="shared" si="0"/>
        <v>20000</v>
      </c>
      <c r="T8" s="151">
        <f t="shared" si="0"/>
        <v>47259</v>
      </c>
      <c r="U8" s="151">
        <f t="shared" si="0"/>
        <v>55000</v>
      </c>
      <c r="V8" s="151">
        <f t="shared" si="0"/>
        <v>24000</v>
      </c>
      <c r="W8" s="293">
        <f t="shared" si="0"/>
        <v>14900000</v>
      </c>
      <c r="X8" s="293">
        <f>X9+X12+X13+X15</f>
        <v>518000</v>
      </c>
      <c r="Y8" s="151"/>
      <c r="Z8" s="151"/>
    </row>
    <row r="9" spans="1:28" s="153" customFormat="1">
      <c r="A9" s="363"/>
      <c r="B9" s="257" t="s">
        <v>111</v>
      </c>
      <c r="C9" s="257">
        <f>C10+C11</f>
        <v>0</v>
      </c>
      <c r="D9" s="257">
        <f t="shared" ref="D9:T9" si="1">D10+D11</f>
        <v>0</v>
      </c>
      <c r="E9" s="261">
        <f>E10+E11</f>
        <v>7705113</v>
      </c>
      <c r="F9" s="256">
        <f>F10+F11</f>
        <v>7859000</v>
      </c>
      <c r="G9" s="256">
        <f>G10+G11</f>
        <v>182000</v>
      </c>
      <c r="H9" s="259">
        <v>3872413</v>
      </c>
      <c r="I9" s="256">
        <f>I10+I11</f>
        <v>4183000</v>
      </c>
      <c r="J9" s="256">
        <f t="shared" si="1"/>
        <v>122000</v>
      </c>
      <c r="K9" s="259">
        <f t="shared" si="1"/>
        <v>667695</v>
      </c>
      <c r="L9" s="256">
        <f t="shared" si="1"/>
        <v>820000</v>
      </c>
      <c r="M9" s="256">
        <f t="shared" si="1"/>
        <v>30000</v>
      </c>
      <c r="N9" s="259">
        <f t="shared" si="1"/>
        <v>591329</v>
      </c>
      <c r="O9" s="256">
        <f t="shared" si="1"/>
        <v>614000</v>
      </c>
      <c r="P9" s="256">
        <f t="shared" si="1"/>
        <v>30000</v>
      </c>
      <c r="Q9" s="259">
        <f t="shared" si="1"/>
        <v>1085888</v>
      </c>
      <c r="R9" s="256">
        <f t="shared" si="1"/>
        <v>969000</v>
      </c>
      <c r="S9" s="256">
        <f t="shared" si="1"/>
        <v>20000</v>
      </c>
      <c r="T9" s="259">
        <f t="shared" si="1"/>
        <v>47259</v>
      </c>
      <c r="U9" s="256">
        <f>U10+U11</f>
        <v>55000</v>
      </c>
      <c r="V9" s="256">
        <f>V10+V11</f>
        <v>24000</v>
      </c>
      <c r="W9" s="263">
        <f>W10+W11</f>
        <v>14500000</v>
      </c>
      <c r="X9" s="255">
        <f>X10+X11</f>
        <v>408000</v>
      </c>
    </row>
    <row r="10" spans="1:28" s="153" customFormat="1">
      <c r="A10" s="363"/>
      <c r="B10" s="257" t="s">
        <v>466</v>
      </c>
      <c r="C10" s="257"/>
      <c r="D10" s="257"/>
      <c r="E10" s="261">
        <v>5946703</v>
      </c>
      <c r="F10" s="256">
        <f>6863000+100000-14000</f>
        <v>6949000</v>
      </c>
      <c r="G10" s="256"/>
      <c r="H10" s="259">
        <v>2691798</v>
      </c>
      <c r="I10" s="259">
        <f>3443000+130000</f>
        <v>3573000</v>
      </c>
      <c r="J10" s="256"/>
      <c r="K10" s="259">
        <v>349215</v>
      </c>
      <c r="L10" s="256">
        <f>640000+30000</f>
        <v>670000</v>
      </c>
      <c r="M10" s="256"/>
      <c r="N10" s="863">
        <v>276004</v>
      </c>
      <c r="O10" s="256">
        <f>439000+25000</f>
        <v>464000</v>
      </c>
      <c r="P10" s="256"/>
      <c r="Q10" s="259">
        <v>834718</v>
      </c>
      <c r="R10" s="256">
        <f>789000+80000</f>
        <v>869000</v>
      </c>
      <c r="S10" s="256"/>
      <c r="T10" s="256">
        <v>24505</v>
      </c>
      <c r="U10" s="864">
        <v>30000</v>
      </c>
      <c r="V10" s="256">
        <f>U10*20%</f>
        <v>6000</v>
      </c>
      <c r="W10" s="263">
        <f>F10+I10+L10+O10+R10+U10+D10+C10</f>
        <v>12555000</v>
      </c>
      <c r="X10" s="263">
        <f>V10+S10+P10+M10+J10+G10</f>
        <v>6000</v>
      </c>
    </row>
    <row r="11" spans="1:28" s="153" customFormat="1">
      <c r="A11" s="363"/>
      <c r="B11" s="256" t="s">
        <v>467</v>
      </c>
      <c r="C11" s="257"/>
      <c r="D11" s="257"/>
      <c r="E11" s="261">
        <v>1758410</v>
      </c>
      <c r="F11" s="256">
        <v>910000</v>
      </c>
      <c r="G11" s="256">
        <f>F11*20%</f>
        <v>182000</v>
      </c>
      <c r="H11" s="259">
        <v>1180615</v>
      </c>
      <c r="I11" s="256">
        <v>610000</v>
      </c>
      <c r="J11" s="256">
        <f>I11*20%</f>
        <v>122000</v>
      </c>
      <c r="K11" s="259">
        <v>318480</v>
      </c>
      <c r="L11" s="256">
        <v>150000</v>
      </c>
      <c r="M11" s="256">
        <f>L11*20%</f>
        <v>30000</v>
      </c>
      <c r="N11" s="864">
        <v>315325</v>
      </c>
      <c r="O11" s="256">
        <v>150000</v>
      </c>
      <c r="P11" s="256">
        <f>O11*20%</f>
        <v>30000</v>
      </c>
      <c r="Q11" s="256">
        <v>251170</v>
      </c>
      <c r="R11" s="256">
        <v>100000</v>
      </c>
      <c r="S11" s="256">
        <f>R11*20%</f>
        <v>20000</v>
      </c>
      <c r="T11" s="259">
        <v>22754</v>
      </c>
      <c r="U11" s="864">
        <v>25000</v>
      </c>
      <c r="V11" s="256">
        <v>18000</v>
      </c>
      <c r="W11" s="263">
        <f>F11+I11+L11+O11+R11+U11+D11</f>
        <v>1945000</v>
      </c>
      <c r="X11" s="263">
        <f>V11+S11+P11+M11+J11+G11</f>
        <v>402000</v>
      </c>
    </row>
    <row r="12" spans="1:28" s="153" customFormat="1">
      <c r="A12" s="363"/>
      <c r="B12" s="609" t="s">
        <v>113</v>
      </c>
      <c r="C12" s="609"/>
      <c r="D12" s="609"/>
      <c r="E12" s="865">
        <v>18900</v>
      </c>
      <c r="F12" s="610">
        <v>20000</v>
      </c>
      <c r="G12" s="610">
        <f>F12*50%</f>
        <v>10000</v>
      </c>
      <c r="H12" s="866">
        <v>79572</v>
      </c>
      <c r="I12" s="610">
        <v>80000</v>
      </c>
      <c r="J12" s="610">
        <f>I12*50%</f>
        <v>40000</v>
      </c>
      <c r="K12" s="866"/>
      <c r="L12" s="610"/>
      <c r="M12" s="610"/>
      <c r="N12" s="610"/>
      <c r="O12" s="610"/>
      <c r="P12" s="610"/>
      <c r="Q12" s="610"/>
      <c r="R12" s="610"/>
      <c r="S12" s="610"/>
      <c r="T12" s="610"/>
      <c r="U12" s="610"/>
      <c r="V12" s="610"/>
      <c r="W12" s="611">
        <f>F12+I12+L12+O12+R12+U12</f>
        <v>100000</v>
      </c>
      <c r="X12" s="612">
        <f>V12+S12+P12+M12+J12+G12</f>
        <v>50000</v>
      </c>
    </row>
    <row r="13" spans="1:28" s="153" customFormat="1">
      <c r="A13" s="363"/>
      <c r="B13" s="609" t="s">
        <v>112</v>
      </c>
      <c r="C13" s="609"/>
      <c r="D13" s="609"/>
      <c r="E13" s="865">
        <f>E14</f>
        <v>158243</v>
      </c>
      <c r="F13" s="866">
        <f>F14</f>
        <v>170000</v>
      </c>
      <c r="G13" s="610">
        <f t="shared" ref="G13:X13" si="2">G14</f>
        <v>34000</v>
      </c>
      <c r="H13" s="610"/>
      <c r="I13" s="610">
        <v>130000</v>
      </c>
      <c r="J13" s="610">
        <f>J14</f>
        <v>26000</v>
      </c>
      <c r="K13" s="866">
        <f>K14</f>
        <v>4195</v>
      </c>
      <c r="L13" s="610">
        <f t="shared" si="2"/>
        <v>0</v>
      </c>
      <c r="M13" s="610">
        <f t="shared" si="2"/>
        <v>0</v>
      </c>
      <c r="N13" s="610">
        <f t="shared" si="2"/>
        <v>669</v>
      </c>
      <c r="O13" s="610">
        <f t="shared" si="2"/>
        <v>0</v>
      </c>
      <c r="P13" s="610">
        <f t="shared" si="2"/>
        <v>0</v>
      </c>
      <c r="Q13" s="610"/>
      <c r="R13" s="610">
        <f t="shared" si="2"/>
        <v>0</v>
      </c>
      <c r="S13" s="610">
        <f t="shared" si="2"/>
        <v>0</v>
      </c>
      <c r="T13" s="610"/>
      <c r="U13" s="610">
        <f t="shared" si="2"/>
        <v>0</v>
      </c>
      <c r="V13" s="610">
        <f t="shared" si="2"/>
        <v>0</v>
      </c>
      <c r="W13" s="610">
        <f>W14</f>
        <v>300000</v>
      </c>
      <c r="X13" s="610">
        <f t="shared" si="2"/>
        <v>60000</v>
      </c>
    </row>
    <row r="14" spans="1:28" s="153" customFormat="1" ht="14.25" customHeight="1">
      <c r="A14" s="363"/>
      <c r="B14" s="609" t="s">
        <v>271</v>
      </c>
      <c r="C14" s="609"/>
      <c r="D14" s="609"/>
      <c r="E14" s="865">
        <v>158243</v>
      </c>
      <c r="F14" s="866">
        <v>170000</v>
      </c>
      <c r="G14" s="610">
        <f>F14*20%</f>
        <v>34000</v>
      </c>
      <c r="H14" s="866">
        <v>109774</v>
      </c>
      <c r="I14" s="610">
        <v>130000</v>
      </c>
      <c r="J14" s="610">
        <f>I14*20%</f>
        <v>26000</v>
      </c>
      <c r="K14" s="866">
        <v>4195</v>
      </c>
      <c r="L14" s="610"/>
      <c r="M14" s="610">
        <f>L14*20%</f>
        <v>0</v>
      </c>
      <c r="N14" s="610">
        <v>669</v>
      </c>
      <c r="O14" s="610"/>
      <c r="P14" s="610"/>
      <c r="Q14" s="610"/>
      <c r="R14" s="610"/>
      <c r="S14" s="610">
        <f>R14*20%</f>
        <v>0</v>
      </c>
      <c r="T14" s="610"/>
      <c r="U14" s="610"/>
      <c r="V14" s="610"/>
      <c r="W14" s="611">
        <f>F14+I14+L14+O14+R14+U14</f>
        <v>300000</v>
      </c>
      <c r="X14" s="611">
        <f t="shared" ref="X14:X19" si="3">V14+S14+P14+M14+J14+G14</f>
        <v>60000</v>
      </c>
    </row>
    <row r="15" spans="1:28" s="153" customFormat="1" hidden="1">
      <c r="A15" s="363"/>
      <c r="B15" s="257" t="s">
        <v>744</v>
      </c>
      <c r="C15" s="257"/>
      <c r="D15" s="257"/>
      <c r="E15" s="261"/>
      <c r="F15" s="256"/>
      <c r="G15" s="256"/>
      <c r="H15" s="256"/>
      <c r="I15" s="256"/>
      <c r="J15" s="256"/>
      <c r="K15" s="259"/>
      <c r="L15" s="256"/>
      <c r="M15" s="256"/>
      <c r="N15" s="256"/>
      <c r="O15" s="256"/>
      <c r="P15" s="256"/>
      <c r="Q15" s="256"/>
      <c r="R15" s="256"/>
      <c r="S15" s="256"/>
      <c r="T15" s="256"/>
      <c r="U15" s="256"/>
      <c r="V15" s="256"/>
      <c r="W15" s="255"/>
      <c r="X15" s="255">
        <f t="shared" si="3"/>
        <v>0</v>
      </c>
    </row>
    <row r="16" spans="1:28" s="60" customFormat="1" ht="15.75" customHeight="1">
      <c r="A16" s="360">
        <v>2</v>
      </c>
      <c r="B16" s="245" t="s">
        <v>439</v>
      </c>
      <c r="C16" s="245"/>
      <c r="D16" s="245"/>
      <c r="E16" s="245">
        <v>236016</v>
      </c>
      <c r="F16" s="245">
        <v>220000</v>
      </c>
      <c r="G16" s="245">
        <f>F16</f>
        <v>220000</v>
      </c>
      <c r="H16" s="245">
        <v>260791</v>
      </c>
      <c r="I16" s="245">
        <v>260000</v>
      </c>
      <c r="J16" s="245">
        <f>I16</f>
        <v>260000</v>
      </c>
      <c r="K16" s="245">
        <v>161815</v>
      </c>
      <c r="L16" s="245">
        <v>150000</v>
      </c>
      <c r="M16" s="245">
        <f>L16</f>
        <v>150000</v>
      </c>
      <c r="N16" s="245">
        <v>108624</v>
      </c>
      <c r="O16" s="245">
        <v>140000</v>
      </c>
      <c r="P16" s="245">
        <f>O16</f>
        <v>140000</v>
      </c>
      <c r="Q16" s="245">
        <v>165607</v>
      </c>
      <c r="R16" s="245">
        <v>165000</v>
      </c>
      <c r="S16" s="245">
        <f>R16</f>
        <v>165000</v>
      </c>
      <c r="T16" s="245">
        <v>13809</v>
      </c>
      <c r="U16" s="245">
        <v>15000</v>
      </c>
      <c r="V16" s="245">
        <f>U16</f>
        <v>15000</v>
      </c>
      <c r="W16" s="294">
        <f>F16+I16+L16+O16+R16+U16</f>
        <v>950000</v>
      </c>
      <c r="X16" s="294">
        <f t="shared" si="3"/>
        <v>950000</v>
      </c>
      <c r="Y16" s="292"/>
      <c r="Z16" s="153"/>
    </row>
    <row r="17" spans="1:26" s="60" customFormat="1" ht="14.25" customHeight="1">
      <c r="A17" s="360">
        <v>3</v>
      </c>
      <c r="B17" s="296" t="s">
        <v>105</v>
      </c>
      <c r="C17" s="296"/>
      <c r="D17" s="296"/>
      <c r="E17" s="296">
        <v>5205644</v>
      </c>
      <c r="F17" s="245">
        <v>3000000</v>
      </c>
      <c r="G17" s="245"/>
      <c r="H17" s="245">
        <v>4348743</v>
      </c>
      <c r="I17" s="245">
        <v>2000000</v>
      </c>
      <c r="J17" s="245"/>
      <c r="K17" s="245">
        <v>396879</v>
      </c>
      <c r="L17" s="245">
        <v>2000000</v>
      </c>
      <c r="M17" s="245"/>
      <c r="N17" s="245">
        <v>2943537</v>
      </c>
      <c r="O17" s="245">
        <v>2000000</v>
      </c>
      <c r="P17" s="245"/>
      <c r="Q17" s="245">
        <v>11645229</v>
      </c>
      <c r="R17" s="245">
        <v>10000000</v>
      </c>
      <c r="S17" s="245"/>
      <c r="T17" s="245">
        <v>1066670</v>
      </c>
      <c r="U17" s="245">
        <v>1000000</v>
      </c>
      <c r="V17" s="245">
        <f>U17*50%</f>
        <v>500000</v>
      </c>
      <c r="W17" s="294">
        <f>F17+I17+L17+O17+R17+U17</f>
        <v>20000000</v>
      </c>
      <c r="X17" s="294">
        <f t="shared" si="3"/>
        <v>500000</v>
      </c>
      <c r="Z17" s="153"/>
    </row>
    <row r="18" spans="1:26" s="60" customFormat="1">
      <c r="A18" s="360">
        <v>4</v>
      </c>
      <c r="B18" s="296" t="s">
        <v>779</v>
      </c>
      <c r="C18" s="296">
        <f>512000</f>
        <v>512000</v>
      </c>
      <c r="D18" s="296"/>
      <c r="E18" s="296">
        <v>1522220</v>
      </c>
      <c r="F18" s="245">
        <v>1650000</v>
      </c>
      <c r="G18" s="245"/>
      <c r="H18" s="245">
        <v>1320162</v>
      </c>
      <c r="I18" s="245">
        <v>1200000</v>
      </c>
      <c r="J18" s="245"/>
      <c r="K18" s="245">
        <v>443210</v>
      </c>
      <c r="L18" s="245">
        <v>308000</v>
      </c>
      <c r="M18" s="245"/>
      <c r="N18" s="245">
        <v>209492</v>
      </c>
      <c r="O18" s="245">
        <v>150000</v>
      </c>
      <c r="P18" s="245"/>
      <c r="Q18" s="245">
        <v>209419</v>
      </c>
      <c r="R18" s="245">
        <v>150000</v>
      </c>
      <c r="S18" s="245"/>
      <c r="T18" s="245">
        <v>49721</v>
      </c>
      <c r="U18" s="245">
        <v>30000</v>
      </c>
      <c r="V18" s="245"/>
      <c r="W18" s="294">
        <f>F18+I18+L18+O18+R18+U18+C18+D18</f>
        <v>4000000</v>
      </c>
      <c r="X18" s="294">
        <f t="shared" si="3"/>
        <v>0</v>
      </c>
      <c r="Z18" s="153"/>
    </row>
    <row r="19" spans="1:26" s="60" customFormat="1">
      <c r="A19" s="360">
        <v>5</v>
      </c>
      <c r="B19" s="296" t="s">
        <v>349</v>
      </c>
      <c r="C19" s="296">
        <f>4700000-1130000+680000-23343</f>
        <v>4226657</v>
      </c>
      <c r="D19" s="296"/>
      <c r="E19" s="296">
        <v>715805</v>
      </c>
      <c r="F19" s="245">
        <v>715000</v>
      </c>
      <c r="G19" s="245"/>
      <c r="H19" s="245">
        <v>496712</v>
      </c>
      <c r="I19" s="245">
        <v>490000</v>
      </c>
      <c r="J19" s="245"/>
      <c r="K19" s="245">
        <v>98570</v>
      </c>
      <c r="L19" s="245">
        <v>99000</v>
      </c>
      <c r="M19" s="245"/>
      <c r="N19" s="245">
        <v>188252</v>
      </c>
      <c r="O19" s="245">
        <v>189000</v>
      </c>
      <c r="P19" s="245"/>
      <c r="Q19" s="245">
        <v>180343</v>
      </c>
      <c r="R19" s="245">
        <v>180343</v>
      </c>
      <c r="S19" s="245"/>
      <c r="T19" s="245"/>
      <c r="U19" s="245"/>
      <c r="V19" s="245"/>
      <c r="W19" s="294">
        <f>F19+I19+L19+O19+R19+U19+C19+D19</f>
        <v>5900000</v>
      </c>
      <c r="X19" s="294">
        <f t="shared" si="3"/>
        <v>0</v>
      </c>
      <c r="Z19" s="153"/>
    </row>
    <row r="20" spans="1:26" s="60" customFormat="1">
      <c r="A20" s="360">
        <v>6</v>
      </c>
      <c r="B20" s="296" t="s">
        <v>350</v>
      </c>
      <c r="C20" s="296">
        <f>C21+C22</f>
        <v>20400000</v>
      </c>
      <c r="D20" s="296">
        <f t="shared" ref="D20:X20" si="4">D21+D22</f>
        <v>0</v>
      </c>
      <c r="E20" s="296">
        <f>E21+E22</f>
        <v>326519</v>
      </c>
      <c r="F20" s="296">
        <f>F21+F22</f>
        <v>310000</v>
      </c>
      <c r="G20" s="296">
        <f>G21+G22</f>
        <v>310000</v>
      </c>
      <c r="H20" s="296">
        <f t="shared" si="4"/>
        <v>397484</v>
      </c>
      <c r="I20" s="296">
        <f t="shared" si="4"/>
        <v>365000</v>
      </c>
      <c r="J20" s="296">
        <f>J21+J22</f>
        <v>365000</v>
      </c>
      <c r="K20" s="296">
        <f>K21+K22</f>
        <v>105425</v>
      </c>
      <c r="L20" s="296">
        <f t="shared" si="4"/>
        <v>85000</v>
      </c>
      <c r="M20" s="296">
        <f>M21+M22</f>
        <v>85000</v>
      </c>
      <c r="N20" s="296">
        <f>N21+N22</f>
        <v>85219</v>
      </c>
      <c r="O20" s="296">
        <f t="shared" si="4"/>
        <v>70000</v>
      </c>
      <c r="P20" s="296">
        <f t="shared" si="4"/>
        <v>70000</v>
      </c>
      <c r="Q20" s="296">
        <f t="shared" si="4"/>
        <v>268577</v>
      </c>
      <c r="R20" s="296">
        <f t="shared" si="4"/>
        <v>240000</v>
      </c>
      <c r="S20" s="296">
        <f t="shared" si="4"/>
        <v>240000</v>
      </c>
      <c r="T20" s="296">
        <f t="shared" si="4"/>
        <v>35306</v>
      </c>
      <c r="U20" s="296">
        <f t="shared" si="4"/>
        <v>30000</v>
      </c>
      <c r="V20" s="296">
        <f t="shared" si="4"/>
        <v>30000</v>
      </c>
      <c r="W20" s="296">
        <f>W21+W22</f>
        <v>21500000</v>
      </c>
      <c r="X20" s="296">
        <f t="shared" si="4"/>
        <v>1100000</v>
      </c>
      <c r="Z20" s="153"/>
    </row>
    <row r="21" spans="1:26" s="153" customFormat="1">
      <c r="A21" s="363"/>
      <c r="B21" s="261" t="s">
        <v>87</v>
      </c>
      <c r="C21" s="261"/>
      <c r="D21" s="261"/>
      <c r="E21" s="261">
        <v>326519</v>
      </c>
      <c r="F21" s="259">
        <v>310000</v>
      </c>
      <c r="G21" s="259">
        <f>F21</f>
        <v>310000</v>
      </c>
      <c r="H21" s="259">
        <v>397484</v>
      </c>
      <c r="I21" s="259">
        <v>365000</v>
      </c>
      <c r="J21" s="259">
        <v>365000</v>
      </c>
      <c r="K21" s="259">
        <v>105425</v>
      </c>
      <c r="L21" s="259">
        <v>85000</v>
      </c>
      <c r="M21" s="259">
        <f>L21</f>
        <v>85000</v>
      </c>
      <c r="N21" s="259">
        <v>85219</v>
      </c>
      <c r="O21" s="259">
        <v>70000</v>
      </c>
      <c r="P21" s="259">
        <v>70000</v>
      </c>
      <c r="Q21" s="259">
        <v>268577</v>
      </c>
      <c r="R21" s="259">
        <v>240000</v>
      </c>
      <c r="S21" s="259">
        <f>R21</f>
        <v>240000</v>
      </c>
      <c r="T21" s="259">
        <v>35306</v>
      </c>
      <c r="U21" s="259">
        <v>30000</v>
      </c>
      <c r="V21" s="259">
        <f>U21</f>
        <v>30000</v>
      </c>
      <c r="W21" s="263">
        <f>F21+I21+L21+O21+R21+U21+C21+D21</f>
        <v>1100000</v>
      </c>
      <c r="X21" s="263">
        <f>V21+S21+P21+M21+J21+G21</f>
        <v>1100000</v>
      </c>
    </row>
    <row r="22" spans="1:26" s="153" customFormat="1">
      <c r="A22" s="363"/>
      <c r="B22" s="261" t="s">
        <v>114</v>
      </c>
      <c r="C22" s="261">
        <v>20400000</v>
      </c>
      <c r="D22" s="261"/>
      <c r="E22" s="261"/>
      <c r="F22" s="259"/>
      <c r="G22" s="259"/>
      <c r="H22" s="259"/>
      <c r="I22" s="259"/>
      <c r="J22" s="259"/>
      <c r="K22" s="259"/>
      <c r="L22" s="259"/>
      <c r="M22" s="259"/>
      <c r="N22" s="259"/>
      <c r="O22" s="259"/>
      <c r="P22" s="259"/>
      <c r="Q22" s="259"/>
      <c r="R22" s="259"/>
      <c r="S22" s="259"/>
      <c r="T22" s="259"/>
      <c r="U22" s="259"/>
      <c r="V22" s="259"/>
      <c r="W22" s="263">
        <f>F22+I22+L22+O22+R22+U22+C22+D22</f>
        <v>20400000</v>
      </c>
      <c r="X22" s="263">
        <f>V22+S22+P22+M22+J22+G22</f>
        <v>0</v>
      </c>
    </row>
    <row r="23" spans="1:26" s="60" customFormat="1">
      <c r="A23" s="360">
        <v>7</v>
      </c>
      <c r="B23" s="296" t="s">
        <v>657</v>
      </c>
      <c r="C23" s="296">
        <f>C27+C28</f>
        <v>950000</v>
      </c>
      <c r="D23" s="296">
        <f t="shared" ref="D23:V23" si="5">D24+D27+D28</f>
        <v>0</v>
      </c>
      <c r="E23" s="296">
        <v>256443</v>
      </c>
      <c r="F23" s="296">
        <f>F24+F27+F28</f>
        <v>437000</v>
      </c>
      <c r="G23" s="296">
        <f t="shared" si="5"/>
        <v>88800</v>
      </c>
      <c r="H23" s="296">
        <v>174388</v>
      </c>
      <c r="I23" s="296">
        <f t="shared" si="5"/>
        <v>435000</v>
      </c>
      <c r="J23" s="296">
        <f t="shared" si="5"/>
        <v>66800</v>
      </c>
      <c r="K23" s="296">
        <v>59433</v>
      </c>
      <c r="L23" s="296">
        <f t="shared" si="5"/>
        <v>84000</v>
      </c>
      <c r="M23" s="296">
        <f t="shared" si="5"/>
        <v>32000</v>
      </c>
      <c r="N23" s="296"/>
      <c r="O23" s="296">
        <f>O24+O27+O28</f>
        <v>93000</v>
      </c>
      <c r="P23" s="296">
        <f t="shared" si="5"/>
        <v>39400</v>
      </c>
      <c r="Q23" s="296">
        <v>41253</v>
      </c>
      <c r="R23" s="296">
        <f t="shared" si="5"/>
        <v>79000</v>
      </c>
      <c r="S23" s="296">
        <f>S24+S27+S28</f>
        <v>23000</v>
      </c>
      <c r="T23" s="296">
        <f>T24+T27+T28</f>
        <v>20422</v>
      </c>
      <c r="U23" s="296">
        <f t="shared" si="5"/>
        <v>22000</v>
      </c>
      <c r="V23" s="296">
        <f t="shared" si="5"/>
        <v>20000</v>
      </c>
      <c r="W23" s="296">
        <f>W24+W27+W28</f>
        <v>2100000</v>
      </c>
      <c r="X23" s="296">
        <f>X24+X27+X28</f>
        <v>270000</v>
      </c>
      <c r="Y23" s="183"/>
    </row>
    <row r="24" spans="1:26" s="60" customFormat="1" ht="14.25">
      <c r="A24" s="364"/>
      <c r="B24" s="261" t="s">
        <v>81</v>
      </c>
      <c r="C24" s="261"/>
      <c r="D24" s="261">
        <f>D25+D26</f>
        <v>0</v>
      </c>
      <c r="E24" s="261"/>
      <c r="F24" s="261">
        <f>F25+F26</f>
        <v>367000</v>
      </c>
      <c r="G24" s="261">
        <f t="shared" ref="G24:V24" si="6">G25+G26</f>
        <v>18800</v>
      </c>
      <c r="H24" s="261"/>
      <c r="I24" s="261">
        <f t="shared" si="6"/>
        <v>387000</v>
      </c>
      <c r="J24" s="261">
        <f t="shared" si="6"/>
        <v>18800</v>
      </c>
      <c r="K24" s="261"/>
      <c r="L24" s="261">
        <f>L25+L26</f>
        <v>58000</v>
      </c>
      <c r="M24" s="261">
        <f t="shared" si="6"/>
        <v>6000</v>
      </c>
      <c r="N24" s="261"/>
      <c r="O24" s="261">
        <f t="shared" si="6"/>
        <v>66000</v>
      </c>
      <c r="P24" s="261">
        <f t="shared" si="6"/>
        <v>12400</v>
      </c>
      <c r="Q24" s="261"/>
      <c r="R24" s="261">
        <f t="shared" si="6"/>
        <v>60000</v>
      </c>
      <c r="S24" s="261">
        <f t="shared" si="6"/>
        <v>4000</v>
      </c>
      <c r="T24" s="261"/>
      <c r="U24" s="261">
        <f t="shared" si="6"/>
        <v>12000</v>
      </c>
      <c r="V24" s="261">
        <f t="shared" si="6"/>
        <v>10000</v>
      </c>
      <c r="W24" s="261">
        <f>W25+W26</f>
        <v>950000</v>
      </c>
      <c r="X24" s="263">
        <f>V24+S24+P24+M24+J24+G24</f>
        <v>70000</v>
      </c>
      <c r="Y24" s="183"/>
    </row>
    <row r="25" spans="1:26" s="60" customFormat="1" ht="14.25">
      <c r="A25" s="364"/>
      <c r="B25" s="261" t="s">
        <v>700</v>
      </c>
      <c r="C25" s="261"/>
      <c r="D25" s="261"/>
      <c r="E25" s="261"/>
      <c r="F25" s="261">
        <v>47000</v>
      </c>
      <c r="G25" s="261">
        <f>F25*40%</f>
        <v>18800</v>
      </c>
      <c r="H25" s="261"/>
      <c r="I25" s="261">
        <v>47000</v>
      </c>
      <c r="J25" s="261">
        <f>I25*40%</f>
        <v>18800</v>
      </c>
      <c r="K25" s="261"/>
      <c r="L25" s="261">
        <v>15000</v>
      </c>
      <c r="M25" s="261">
        <f>L25*40%</f>
        <v>6000</v>
      </c>
      <c r="N25" s="261"/>
      <c r="O25" s="261">
        <v>31000</v>
      </c>
      <c r="P25" s="261">
        <f>O25*40%</f>
        <v>12400</v>
      </c>
      <c r="Q25" s="261"/>
      <c r="R25" s="261">
        <v>10000</v>
      </c>
      <c r="S25" s="261">
        <f>R25*40%</f>
        <v>4000</v>
      </c>
      <c r="T25" s="261"/>
      <c r="U25" s="261">
        <v>10000</v>
      </c>
      <c r="V25" s="261">
        <f>U25</f>
        <v>10000</v>
      </c>
      <c r="W25" s="255">
        <f>F25+I25+L25+O25+R25+U25+C25+D25</f>
        <v>160000</v>
      </c>
      <c r="X25" s="263">
        <f>V25+S25+P25+M25+J25+G25</f>
        <v>70000</v>
      </c>
      <c r="Y25" s="183"/>
    </row>
    <row r="26" spans="1:26" s="60" customFormat="1" ht="14.25">
      <c r="A26" s="364"/>
      <c r="B26" s="261" t="s">
        <v>323</v>
      </c>
      <c r="C26" s="261"/>
      <c r="D26" s="261"/>
      <c r="E26" s="261"/>
      <c r="F26" s="261">
        <v>320000</v>
      </c>
      <c r="G26" s="261"/>
      <c r="H26" s="261"/>
      <c r="I26" s="261">
        <v>340000</v>
      </c>
      <c r="J26" s="261"/>
      <c r="K26" s="261"/>
      <c r="L26" s="261">
        <v>43000</v>
      </c>
      <c r="M26" s="261"/>
      <c r="N26" s="261"/>
      <c r="O26" s="261">
        <v>35000</v>
      </c>
      <c r="P26" s="261"/>
      <c r="Q26" s="261"/>
      <c r="R26" s="261">
        <v>50000</v>
      </c>
      <c r="S26" s="261"/>
      <c r="T26" s="261"/>
      <c r="U26" s="261">
        <v>2000</v>
      </c>
      <c r="V26" s="261"/>
      <c r="W26" s="263">
        <f>F26+I26+L26+O26+R26+U26+C26+D26</f>
        <v>790000</v>
      </c>
      <c r="X26" s="261"/>
      <c r="Y26" s="183"/>
    </row>
    <row r="27" spans="1:26" s="60" customFormat="1">
      <c r="A27" s="360"/>
      <c r="B27" s="261" t="s">
        <v>699</v>
      </c>
      <c r="C27" s="261">
        <v>950000</v>
      </c>
      <c r="D27" s="261"/>
      <c r="E27" s="261">
        <v>184343</v>
      </c>
      <c r="F27" s="259"/>
      <c r="G27" s="209"/>
      <c r="H27" s="209">
        <v>124933</v>
      </c>
      <c r="I27" s="209"/>
      <c r="J27" s="209"/>
      <c r="K27" s="209">
        <v>31400</v>
      </c>
      <c r="L27" s="867"/>
      <c r="M27" s="209"/>
      <c r="N27" s="209">
        <v>43900</v>
      </c>
      <c r="O27" s="867"/>
      <c r="P27" s="209"/>
      <c r="Q27" s="209">
        <v>19500</v>
      </c>
      <c r="R27" s="867"/>
      <c r="S27" s="867"/>
      <c r="T27" s="209">
        <v>3000</v>
      </c>
      <c r="U27" s="867"/>
      <c r="V27" s="209"/>
      <c r="W27" s="868">
        <f>D27+F27+I27+L27+O27+R27+U27+C27</f>
        <v>950000</v>
      </c>
      <c r="X27" s="209">
        <f>G27+J27+M27+P27+S27+V27</f>
        <v>0</v>
      </c>
      <c r="Y27" s="183"/>
    </row>
    <row r="28" spans="1:26" s="153" customFormat="1">
      <c r="A28" s="363"/>
      <c r="B28" s="257" t="s">
        <v>698</v>
      </c>
      <c r="C28" s="257"/>
      <c r="D28" s="257"/>
      <c r="E28" s="261">
        <v>72100</v>
      </c>
      <c r="F28" s="259">
        <f>F29+F30</f>
        <v>70000</v>
      </c>
      <c r="G28" s="259">
        <f t="shared" ref="G28:X28" si="7">G29+G30</f>
        <v>70000</v>
      </c>
      <c r="H28" s="259">
        <f>H29</f>
        <v>49454</v>
      </c>
      <c r="I28" s="259">
        <f>I29+I30</f>
        <v>48000</v>
      </c>
      <c r="J28" s="259">
        <f t="shared" si="7"/>
        <v>48000</v>
      </c>
      <c r="K28" s="259">
        <f>K29+K30</f>
        <v>28033</v>
      </c>
      <c r="L28" s="256">
        <f t="shared" si="7"/>
        <v>26000</v>
      </c>
      <c r="M28" s="256">
        <f t="shared" si="7"/>
        <v>26000</v>
      </c>
      <c r="N28" s="256">
        <v>15700</v>
      </c>
      <c r="O28" s="256">
        <f t="shared" si="7"/>
        <v>27000</v>
      </c>
      <c r="P28" s="256">
        <f t="shared" si="7"/>
        <v>27000</v>
      </c>
      <c r="Q28" s="259">
        <f>Q29</f>
        <v>20414</v>
      </c>
      <c r="R28" s="256">
        <f t="shared" si="7"/>
        <v>19000</v>
      </c>
      <c r="S28" s="256">
        <f>S29+S30</f>
        <v>19000</v>
      </c>
      <c r="T28" s="259">
        <f>T29+T30</f>
        <v>17422</v>
      </c>
      <c r="U28" s="256">
        <f t="shared" si="7"/>
        <v>10000</v>
      </c>
      <c r="V28" s="256">
        <f t="shared" si="7"/>
        <v>10000</v>
      </c>
      <c r="W28" s="255">
        <f t="shared" si="7"/>
        <v>200000</v>
      </c>
      <c r="X28" s="255">
        <f t="shared" si="7"/>
        <v>200000</v>
      </c>
      <c r="Y28" s="361"/>
    </row>
    <row r="29" spans="1:26" s="153" customFormat="1">
      <c r="A29" s="363"/>
      <c r="B29" s="257" t="s">
        <v>103</v>
      </c>
      <c r="C29" s="257"/>
      <c r="D29" s="257"/>
      <c r="E29" s="261">
        <v>72100</v>
      </c>
      <c r="F29" s="259">
        <v>70000</v>
      </c>
      <c r="G29" s="259">
        <f>F29</f>
        <v>70000</v>
      </c>
      <c r="H29" s="259">
        <v>49454</v>
      </c>
      <c r="I29" s="259">
        <v>48000</v>
      </c>
      <c r="J29" s="259">
        <f>I29</f>
        <v>48000</v>
      </c>
      <c r="K29" s="259">
        <v>28033</v>
      </c>
      <c r="L29" s="256">
        <v>26000</v>
      </c>
      <c r="M29" s="256">
        <f>L29</f>
        <v>26000</v>
      </c>
      <c r="N29" s="256">
        <v>28200</v>
      </c>
      <c r="O29" s="256">
        <v>27000</v>
      </c>
      <c r="P29" s="256">
        <f>O29</f>
        <v>27000</v>
      </c>
      <c r="Q29" s="259">
        <v>20414</v>
      </c>
      <c r="R29" s="256">
        <v>19000</v>
      </c>
      <c r="S29" s="256">
        <f>R29</f>
        <v>19000</v>
      </c>
      <c r="T29" s="259">
        <v>17422</v>
      </c>
      <c r="U29" s="256">
        <v>10000</v>
      </c>
      <c r="V29" s="256">
        <f>U29</f>
        <v>10000</v>
      </c>
      <c r="W29" s="255">
        <f t="shared" ref="W29:X31" si="8">F29+I29+L29+O29+R29+U29</f>
        <v>200000</v>
      </c>
      <c r="X29" s="255">
        <f t="shared" si="8"/>
        <v>200000</v>
      </c>
      <c r="Y29" s="361"/>
    </row>
    <row r="30" spans="1:26" s="153" customFormat="1" ht="13.5" customHeight="1">
      <c r="A30" s="363"/>
      <c r="B30" s="366" t="s">
        <v>1609</v>
      </c>
      <c r="C30" s="257"/>
      <c r="D30" s="257"/>
      <c r="E30" s="257"/>
      <c r="F30" s="256"/>
      <c r="G30" s="256"/>
      <c r="H30" s="256"/>
      <c r="I30" s="256"/>
      <c r="J30" s="256"/>
      <c r="K30" s="256"/>
      <c r="L30" s="256"/>
      <c r="M30" s="256"/>
      <c r="N30" s="256"/>
      <c r="O30" s="256"/>
      <c r="P30" s="256"/>
      <c r="Q30" s="256"/>
      <c r="R30" s="256"/>
      <c r="S30" s="256"/>
      <c r="T30" s="256"/>
      <c r="U30" s="256"/>
      <c r="V30" s="256"/>
      <c r="W30" s="255">
        <f t="shared" si="8"/>
        <v>0</v>
      </c>
      <c r="X30" s="263">
        <f t="shared" si="8"/>
        <v>0</v>
      </c>
    </row>
    <row r="31" spans="1:26" s="60" customFormat="1" ht="27.75" hidden="1" customHeight="1">
      <c r="A31" s="360">
        <v>8</v>
      </c>
      <c r="B31" s="296" t="s">
        <v>658</v>
      </c>
      <c r="C31" s="296"/>
      <c r="D31" s="296"/>
      <c r="E31" s="296"/>
      <c r="F31" s="245">
        <v>50000</v>
      </c>
      <c r="G31" s="245">
        <v>50000</v>
      </c>
      <c r="H31" s="245">
        <v>151731</v>
      </c>
      <c r="I31" s="245">
        <v>155000</v>
      </c>
      <c r="J31" s="245">
        <f>I31</f>
        <v>155000</v>
      </c>
      <c r="K31" s="245">
        <v>76800</v>
      </c>
      <c r="L31" s="245">
        <v>85000</v>
      </c>
      <c r="M31" s="245">
        <f>L31</f>
        <v>85000</v>
      </c>
      <c r="N31" s="245">
        <v>117000</v>
      </c>
      <c r="O31" s="245">
        <v>125000</v>
      </c>
      <c r="P31" s="245">
        <f>O31</f>
        <v>125000</v>
      </c>
      <c r="Q31" s="245">
        <v>30000</v>
      </c>
      <c r="R31" s="245">
        <v>45000</v>
      </c>
      <c r="S31" s="245">
        <f>R31</f>
        <v>45000</v>
      </c>
      <c r="T31" s="245"/>
      <c r="U31" s="245">
        <v>30000</v>
      </c>
      <c r="V31" s="245">
        <f>U31</f>
        <v>30000</v>
      </c>
      <c r="W31" s="294">
        <f t="shared" si="8"/>
        <v>490000</v>
      </c>
      <c r="X31" s="245">
        <f t="shared" si="8"/>
        <v>490000</v>
      </c>
    </row>
    <row r="32" spans="1:26" s="153" customFormat="1">
      <c r="A32" s="367">
        <v>9</v>
      </c>
      <c r="B32" s="368" t="s">
        <v>272</v>
      </c>
      <c r="C32" s="368">
        <v>460000</v>
      </c>
      <c r="D32" s="369"/>
      <c r="E32" s="369"/>
      <c r="F32" s="359"/>
      <c r="G32" s="359"/>
      <c r="H32" s="359"/>
      <c r="I32" s="359"/>
      <c r="J32" s="359"/>
      <c r="K32" s="359"/>
      <c r="L32" s="359"/>
      <c r="M32" s="359"/>
      <c r="N32" s="359"/>
      <c r="O32" s="359"/>
      <c r="P32" s="359"/>
      <c r="Q32" s="359"/>
      <c r="R32" s="359"/>
      <c r="S32" s="359"/>
      <c r="T32" s="359"/>
      <c r="U32" s="359"/>
      <c r="V32" s="359"/>
      <c r="W32" s="294">
        <f>F32+I32+L32+O32+R32+U32+C32+D32</f>
        <v>460000</v>
      </c>
      <c r="X32" s="294">
        <f>V32+S32+P32+M32+J32+G32</f>
        <v>0</v>
      </c>
    </row>
    <row r="33" spans="1:24" s="60" customFormat="1" ht="18" customHeight="1">
      <c r="A33" s="360">
        <v>9</v>
      </c>
      <c r="B33" s="245" t="s">
        <v>61</v>
      </c>
      <c r="C33" s="245">
        <f>C34</f>
        <v>100000</v>
      </c>
      <c r="D33" s="245"/>
      <c r="E33" s="245"/>
      <c r="F33" s="359"/>
      <c r="G33" s="245"/>
      <c r="H33" s="245"/>
      <c r="I33" s="359"/>
      <c r="J33" s="245"/>
      <c r="K33" s="245"/>
      <c r="L33" s="359"/>
      <c r="M33" s="245"/>
      <c r="N33" s="245"/>
      <c r="O33" s="359"/>
      <c r="P33" s="245"/>
      <c r="Q33" s="245"/>
      <c r="R33" s="359"/>
      <c r="S33" s="245"/>
      <c r="T33" s="245"/>
      <c r="U33" s="359"/>
      <c r="V33" s="245"/>
      <c r="W33" s="294">
        <f>F33+I33+L33+O33+R33+U33+C33+D33</f>
        <v>100000</v>
      </c>
      <c r="X33" s="294">
        <f>V33+S33+P33+M33+J33+G33</f>
        <v>0</v>
      </c>
    </row>
    <row r="34" spans="1:24" s="153" customFormat="1">
      <c r="A34" s="363"/>
      <c r="B34" s="259" t="s">
        <v>62</v>
      </c>
      <c r="C34" s="259">
        <v>100000</v>
      </c>
      <c r="D34" s="256"/>
      <c r="E34" s="256"/>
      <c r="F34" s="256"/>
      <c r="G34" s="256"/>
      <c r="H34" s="256"/>
      <c r="I34" s="256"/>
      <c r="J34" s="256"/>
      <c r="K34" s="256"/>
      <c r="L34" s="256"/>
      <c r="M34" s="256"/>
      <c r="N34" s="256"/>
      <c r="O34" s="256"/>
      <c r="P34" s="256"/>
      <c r="Q34" s="256"/>
      <c r="R34" s="256"/>
      <c r="S34" s="256"/>
      <c r="T34" s="256"/>
      <c r="U34" s="256"/>
      <c r="V34" s="256"/>
      <c r="W34" s="263">
        <f>F34+I34+L34+O34+R34+U34+C34+D34</f>
        <v>100000</v>
      </c>
      <c r="X34" s="263">
        <f>V34+S34+P34+M34+J34+G34</f>
        <v>0</v>
      </c>
    </row>
    <row r="35" spans="1:24" s="60" customFormat="1">
      <c r="A35" s="371">
        <v>10</v>
      </c>
      <c r="B35" s="372" t="s">
        <v>160</v>
      </c>
      <c r="C35" s="372">
        <v>4000000</v>
      </c>
      <c r="D35" s="372"/>
      <c r="E35" s="372"/>
      <c r="F35" s="373"/>
      <c r="G35" s="372"/>
      <c r="H35" s="372"/>
      <c r="I35" s="373"/>
      <c r="J35" s="372"/>
      <c r="K35" s="372"/>
      <c r="L35" s="373"/>
      <c r="M35" s="372"/>
      <c r="N35" s="372"/>
      <c r="O35" s="373"/>
      <c r="P35" s="372"/>
      <c r="Q35" s="372"/>
      <c r="R35" s="373"/>
      <c r="S35" s="372"/>
      <c r="T35" s="372"/>
      <c r="U35" s="373"/>
      <c r="V35" s="372"/>
      <c r="W35" s="374">
        <f>F35+I35+L35+O35+R35+U35+C35+D35</f>
        <v>4000000</v>
      </c>
      <c r="X35" s="374">
        <f>V35+S35+P35+M35+J35+G35</f>
        <v>0</v>
      </c>
    </row>
    <row r="36" spans="1:24" s="48" customFormat="1">
      <c r="A36" s="375"/>
      <c r="B36" s="375" t="s">
        <v>86</v>
      </c>
      <c r="C36" s="376">
        <f>C8+C16+C18+C19+C20+C23+C32+C33+C35</f>
        <v>30648657</v>
      </c>
      <c r="D36" s="376">
        <f>D8+D16+D18+D19+D20+D23+D32+D33+D35</f>
        <v>0</v>
      </c>
      <c r="E36" s="266">
        <f t="shared" ref="E36:U36" si="9">E8+E16+E17+E18+E19+E20+E23+E31+E35+E33+E32</f>
        <v>16144903</v>
      </c>
      <c r="F36" s="266">
        <f t="shared" si="9"/>
        <v>14431000</v>
      </c>
      <c r="G36" s="266">
        <f t="shared" si="9"/>
        <v>894800</v>
      </c>
      <c r="H36" s="266">
        <f t="shared" si="9"/>
        <v>11101996</v>
      </c>
      <c r="I36" s="266">
        <f t="shared" si="9"/>
        <v>9298000</v>
      </c>
      <c r="J36" s="266">
        <f t="shared" si="9"/>
        <v>1034800</v>
      </c>
      <c r="K36" s="266">
        <f t="shared" si="9"/>
        <v>2014022</v>
      </c>
      <c r="L36" s="266">
        <f t="shared" si="9"/>
        <v>3631000</v>
      </c>
      <c r="M36" s="266">
        <f t="shared" si="9"/>
        <v>382000</v>
      </c>
      <c r="N36" s="266">
        <f t="shared" si="9"/>
        <v>4244122</v>
      </c>
      <c r="O36" s="266">
        <f t="shared" si="9"/>
        <v>3381000</v>
      </c>
      <c r="P36" s="266">
        <f t="shared" si="9"/>
        <v>404400</v>
      </c>
      <c r="Q36" s="266">
        <f t="shared" si="9"/>
        <v>13626316</v>
      </c>
      <c r="R36" s="266">
        <f t="shared" si="9"/>
        <v>11828343</v>
      </c>
      <c r="S36" s="266">
        <f t="shared" si="9"/>
        <v>493000</v>
      </c>
      <c r="T36" s="266">
        <f t="shared" si="9"/>
        <v>1233187</v>
      </c>
      <c r="U36" s="266">
        <f t="shared" si="9"/>
        <v>1182000</v>
      </c>
      <c r="V36" s="266">
        <f>V8+V16+V17+V18+V19+V20+V23+V31</f>
        <v>619000</v>
      </c>
      <c r="W36" s="266">
        <f>W8+W16+W17+W18+W19+W20+W23+W31+W35+W33+W32</f>
        <v>74400000</v>
      </c>
      <c r="X36" s="266">
        <f>X8+X16+X17+X20+X23+X31</f>
        <v>3828000</v>
      </c>
    </row>
    <row r="37" spans="1:24" s="155" customFormat="1" ht="15.75" customHeight="1">
      <c r="A37" s="154"/>
      <c r="R37" s="362"/>
      <c r="S37" s="1100" t="s">
        <v>1658</v>
      </c>
      <c r="T37" s="1100"/>
      <c r="U37" s="1100"/>
      <c r="V37" s="1100"/>
      <c r="W37" s="1100"/>
      <c r="X37" s="1100"/>
    </row>
    <row r="38" spans="1:24" s="156" customFormat="1" ht="15.75" customHeight="1">
      <c r="A38" s="905"/>
      <c r="B38" s="377"/>
      <c r="C38" s="1101"/>
      <c r="D38" s="1101"/>
      <c r="E38" s="1101"/>
      <c r="F38" s="1101"/>
      <c r="G38" s="1101"/>
      <c r="H38" s="905"/>
      <c r="I38" s="74"/>
      <c r="R38" s="1101" t="s">
        <v>192</v>
      </c>
      <c r="S38" s="1101"/>
      <c r="T38" s="1101"/>
      <c r="U38" s="1101"/>
      <c r="V38" s="1101"/>
      <c r="W38" s="1101"/>
      <c r="X38" s="1101"/>
    </row>
    <row r="39" spans="1:24" s="155" customFormat="1">
      <c r="A39" s="154"/>
      <c r="B39" s="60"/>
      <c r="C39" s="60"/>
      <c r="D39" s="60"/>
      <c r="E39" s="60"/>
      <c r="F39" s="155">
        <f>F16+F28</f>
        <v>290000</v>
      </c>
      <c r="I39" s="155">
        <f>I28+I16</f>
        <v>308000</v>
      </c>
      <c r="L39" s="155">
        <f>L29+L16</f>
        <v>176000</v>
      </c>
      <c r="M39" s="155">
        <f t="shared" ref="M39:O39" si="10">M29+M16</f>
        <v>176000</v>
      </c>
      <c r="N39" s="155">
        <f t="shared" si="10"/>
        <v>136824</v>
      </c>
      <c r="O39" s="155">
        <f t="shared" si="10"/>
        <v>167000</v>
      </c>
      <c r="R39" s="157">
        <f>R28+R16</f>
        <v>184000</v>
      </c>
      <c r="S39" s="157">
        <f t="shared" ref="S39:U39" si="11">S28+S16</f>
        <v>184000</v>
      </c>
      <c r="T39" s="157">
        <f t="shared" si="11"/>
        <v>31231</v>
      </c>
      <c r="U39" s="157">
        <f t="shared" si="11"/>
        <v>25000</v>
      </c>
      <c r="V39" s="157"/>
      <c r="W39" s="157"/>
    </row>
    <row r="40" spans="1:24" s="155" customFormat="1">
      <c r="A40" s="154"/>
      <c r="B40" s="60"/>
      <c r="C40" s="60"/>
      <c r="D40" s="60"/>
      <c r="E40" s="60"/>
      <c r="R40" s="157"/>
      <c r="S40" s="157"/>
      <c r="T40" s="157"/>
      <c r="U40" s="157"/>
      <c r="V40" s="157"/>
      <c r="W40" s="157"/>
    </row>
    <row r="41" spans="1:24" s="155" customFormat="1">
      <c r="A41" s="154"/>
      <c r="B41" s="60"/>
      <c r="C41" s="60"/>
      <c r="D41" s="60"/>
      <c r="E41" s="60"/>
      <c r="R41" s="157"/>
      <c r="S41" s="157"/>
      <c r="T41" s="157"/>
      <c r="U41" s="157"/>
      <c r="V41" s="157"/>
      <c r="W41" s="157"/>
    </row>
    <row r="42" spans="1:24" s="155" customFormat="1">
      <c r="A42" s="154"/>
      <c r="B42" s="60"/>
      <c r="C42" s="60"/>
      <c r="D42" s="60"/>
      <c r="E42" s="60"/>
      <c r="R42" s="157"/>
      <c r="S42" s="157"/>
      <c r="T42" s="157"/>
      <c r="U42" s="157"/>
      <c r="V42" s="157"/>
      <c r="W42" s="157"/>
    </row>
    <row r="43" spans="1:24" s="155" customFormat="1">
      <c r="A43" s="154"/>
      <c r="B43" s="378"/>
      <c r="C43" s="1101"/>
      <c r="D43" s="1101"/>
      <c r="E43" s="1101"/>
      <c r="F43" s="1101"/>
      <c r="G43" s="1101"/>
      <c r="H43" s="905"/>
      <c r="R43" s="1101" t="s">
        <v>60</v>
      </c>
      <c r="S43" s="1101"/>
      <c r="T43" s="1101"/>
      <c r="U43" s="1101"/>
      <c r="V43" s="1101"/>
      <c r="W43" s="1101"/>
      <c r="X43" s="1101"/>
    </row>
    <row r="44" spans="1:24" s="155" customFormat="1" ht="14.25">
      <c r="A44" s="154"/>
    </row>
    <row r="45" spans="1:24" s="155" customFormat="1" ht="14.25">
      <c r="A45" s="154"/>
    </row>
    <row r="46" spans="1:24" s="155" customFormat="1" ht="14.25">
      <c r="A46" s="154"/>
      <c r="F46" s="392"/>
      <c r="V46" s="155">
        <f>V36-V17</f>
        <v>119000</v>
      </c>
    </row>
    <row r="52" spans="6:12">
      <c r="F52" s="60"/>
      <c r="G52" s="60"/>
      <c r="H52" s="60"/>
      <c r="I52" s="155"/>
      <c r="J52" s="155"/>
      <c r="K52" s="155"/>
      <c r="L52" s="155"/>
    </row>
    <row r="53" spans="6:12">
      <c r="F53" s="60"/>
      <c r="G53" s="60"/>
      <c r="H53" s="60"/>
      <c r="I53" s="155"/>
      <c r="J53" s="155"/>
      <c r="K53" s="155"/>
      <c r="L53" s="155"/>
    </row>
    <row r="54" spans="6:12">
      <c r="F54" s="60"/>
      <c r="G54" s="60"/>
      <c r="H54" s="60"/>
      <c r="I54" s="60"/>
      <c r="J54" s="155"/>
      <c r="K54" s="155"/>
      <c r="L54" s="60"/>
    </row>
  </sheetData>
  <mergeCells count="19">
    <mergeCell ref="S37:X37"/>
    <mergeCell ref="C38:G38"/>
    <mergeCell ref="R38:X38"/>
    <mergeCell ref="R43:X43"/>
    <mergeCell ref="C43:G43"/>
    <mergeCell ref="A6:A7"/>
    <mergeCell ref="B6:B7"/>
    <mergeCell ref="C6:C7"/>
    <mergeCell ref="D6:D7"/>
    <mergeCell ref="G1:U1"/>
    <mergeCell ref="C4:U4"/>
    <mergeCell ref="U5:X5"/>
    <mergeCell ref="E6:G6"/>
    <mergeCell ref="H6:J6"/>
    <mergeCell ref="L6:M6"/>
    <mergeCell ref="O6:P6"/>
    <mergeCell ref="R6:S6"/>
    <mergeCell ref="U6:V6"/>
    <mergeCell ref="W6:X6"/>
  </mergeCells>
  <phoneticPr fontId="96" type="noConversion"/>
  <pageMargins left="0.2" right="0.2" top="0.25" bottom="0.25" header="0.3" footer="0.3"/>
  <pageSetup paperSize="9" scale="90" orientation="landscape" verticalDpi="0" r:id="rId1"/>
</worksheet>
</file>

<file path=xl/worksheets/sheet13.xml><?xml version="1.0" encoding="utf-8"?>
<worksheet xmlns="http://schemas.openxmlformats.org/spreadsheetml/2006/main" xmlns:r="http://schemas.openxmlformats.org/officeDocument/2006/relationships">
  <sheetPr>
    <tabColor rgb="FF00B0F0"/>
  </sheetPr>
  <dimension ref="A1:V56"/>
  <sheetViews>
    <sheetView topLeftCell="A25" workbookViewId="0">
      <selection activeCell="F49" sqref="F49"/>
    </sheetView>
  </sheetViews>
  <sheetFormatPr defaultRowHeight="15"/>
  <cols>
    <col min="1" max="1" width="3.375" style="147" customWidth="1"/>
    <col min="2" max="2" width="18.75" style="145" customWidth="1"/>
    <col min="3" max="3" width="8.875" style="145" customWidth="1"/>
    <col min="4" max="4" width="7.875" style="145" customWidth="1"/>
    <col min="5" max="5" width="9.125" style="145" customWidth="1"/>
    <col min="6" max="6" width="8.125" style="145" customWidth="1"/>
    <col min="7" max="7" width="8.5" style="145" customWidth="1"/>
    <col min="8" max="8" width="9.125" style="145" customWidth="1"/>
    <col min="9" max="9" width="8.75" style="145" customWidth="1"/>
    <col min="10" max="10" width="6.875" style="145" customWidth="1"/>
    <col min="11" max="11" width="7.875" style="145" customWidth="1"/>
    <col min="12" max="12" width="6.75" style="145" customWidth="1"/>
    <col min="13" max="13" width="8.875" style="145" customWidth="1"/>
    <col min="14" max="14" width="8" style="145" customWidth="1"/>
    <col min="15" max="16" width="7.875" style="145" customWidth="1"/>
    <col min="17" max="17" width="9.875" style="145" customWidth="1"/>
    <col min="18" max="18" width="8.25" style="145" customWidth="1"/>
    <col min="19" max="19" width="12.875" style="145" bestFit="1" customWidth="1"/>
    <col min="20" max="20" width="9.875" style="145" bestFit="1" customWidth="1"/>
    <col min="21" max="16384" width="9" style="145"/>
  </cols>
  <sheetData>
    <row r="1" spans="1:22" ht="17.25">
      <c r="A1" s="406" t="s">
        <v>438</v>
      </c>
      <c r="E1" s="146"/>
      <c r="F1" s="1092"/>
      <c r="G1" s="1092"/>
      <c r="H1" s="1092"/>
      <c r="I1" s="1092"/>
      <c r="J1" s="1092"/>
      <c r="K1" s="1092"/>
      <c r="L1" s="1092"/>
      <c r="M1" s="1092"/>
      <c r="N1" s="1092"/>
      <c r="O1" s="1092"/>
      <c r="P1" s="146"/>
      <c r="Q1" s="146"/>
    </row>
    <row r="2" spans="1:22" ht="17.25">
      <c r="A2" s="906" t="s">
        <v>674</v>
      </c>
      <c r="E2" s="901"/>
      <c r="F2" s="901"/>
      <c r="G2" s="901"/>
      <c r="H2" s="901"/>
      <c r="I2" s="901"/>
      <c r="J2" s="901"/>
      <c r="K2" s="901"/>
      <c r="L2" s="901"/>
      <c r="M2" s="901"/>
      <c r="N2" s="901"/>
      <c r="O2" s="901"/>
      <c r="P2" s="901"/>
      <c r="Q2" s="901"/>
    </row>
    <row r="3" spans="1:22" ht="17.25">
      <c r="A3" s="906"/>
      <c r="E3" s="901"/>
      <c r="F3" s="901"/>
      <c r="G3" s="901"/>
      <c r="H3" s="901"/>
      <c r="I3" s="901"/>
      <c r="J3" s="901"/>
      <c r="K3" s="901"/>
      <c r="L3" s="901"/>
      <c r="M3" s="901"/>
      <c r="N3" s="901"/>
      <c r="O3" s="901"/>
      <c r="P3" s="901"/>
      <c r="Q3" s="901"/>
    </row>
    <row r="4" spans="1:22" ht="17.25">
      <c r="A4" s="906"/>
      <c r="C4" s="1092" t="s">
        <v>1161</v>
      </c>
      <c r="D4" s="1092"/>
      <c r="E4" s="1092"/>
      <c r="F4" s="1092"/>
      <c r="G4" s="1092"/>
      <c r="H4" s="1092"/>
      <c r="I4" s="1092"/>
      <c r="J4" s="1092"/>
      <c r="K4" s="1092"/>
      <c r="L4" s="1092"/>
      <c r="M4" s="1092"/>
      <c r="N4" s="1092"/>
      <c r="O4" s="1092"/>
      <c r="P4" s="146"/>
      <c r="Q4" s="146"/>
      <c r="R4" s="146"/>
      <c r="S4" s="146"/>
      <c r="T4" s="146"/>
      <c r="U4" s="146"/>
      <c r="V4" s="146"/>
    </row>
    <row r="5" spans="1:22" ht="16.5">
      <c r="B5" s="148"/>
      <c r="C5" s="148"/>
      <c r="D5" s="148"/>
      <c r="M5" s="49"/>
      <c r="O5" s="1093" t="s">
        <v>669</v>
      </c>
      <c r="P5" s="1093"/>
      <c r="Q5" s="1093"/>
      <c r="R5" s="1093"/>
    </row>
    <row r="6" spans="1:22" s="149" customFormat="1" ht="18" customHeight="1">
      <c r="A6" s="1102" t="s">
        <v>76</v>
      </c>
      <c r="B6" s="1090" t="s">
        <v>73</v>
      </c>
      <c r="C6" s="1090" t="s">
        <v>27</v>
      </c>
      <c r="D6" s="1090" t="s">
        <v>511</v>
      </c>
      <c r="E6" s="1097" t="s">
        <v>750</v>
      </c>
      <c r="F6" s="1099"/>
      <c r="G6" s="1097" t="s">
        <v>751</v>
      </c>
      <c r="H6" s="1099"/>
      <c r="I6" s="1097" t="s">
        <v>108</v>
      </c>
      <c r="J6" s="1099"/>
      <c r="K6" s="1097" t="s">
        <v>109</v>
      </c>
      <c r="L6" s="1099"/>
      <c r="M6" s="1097" t="s">
        <v>110</v>
      </c>
      <c r="N6" s="1099"/>
      <c r="O6" s="1105" t="s">
        <v>571</v>
      </c>
      <c r="P6" s="1106"/>
      <c r="Q6" s="1105" t="s">
        <v>420</v>
      </c>
      <c r="R6" s="1106"/>
    </row>
    <row r="7" spans="1:22" s="149" customFormat="1" ht="49.5" customHeight="1">
      <c r="A7" s="1103"/>
      <c r="B7" s="1091"/>
      <c r="C7" s="1091"/>
      <c r="D7" s="1091"/>
      <c r="E7" s="913" t="s">
        <v>59</v>
      </c>
      <c r="F7" s="913" t="s">
        <v>524</v>
      </c>
      <c r="G7" s="913" t="s">
        <v>59</v>
      </c>
      <c r="H7" s="913" t="s">
        <v>524</v>
      </c>
      <c r="I7" s="913" t="s">
        <v>59</v>
      </c>
      <c r="J7" s="913" t="s">
        <v>524</v>
      </c>
      <c r="K7" s="913" t="s">
        <v>59</v>
      </c>
      <c r="L7" s="913" t="s">
        <v>524</v>
      </c>
      <c r="M7" s="913" t="s">
        <v>59</v>
      </c>
      <c r="N7" s="913" t="s">
        <v>524</v>
      </c>
      <c r="O7" s="913" t="s">
        <v>59</v>
      </c>
      <c r="P7" s="913" t="s">
        <v>752</v>
      </c>
      <c r="Q7" s="913" t="s">
        <v>59</v>
      </c>
      <c r="R7" s="913" t="s">
        <v>787</v>
      </c>
    </row>
    <row r="8" spans="1:22" s="152" customFormat="1">
      <c r="A8" s="903">
        <v>1</v>
      </c>
      <c r="B8" s="150" t="s">
        <v>71</v>
      </c>
      <c r="C8" s="150">
        <f>C9+C15</f>
        <v>6233000</v>
      </c>
      <c r="D8" s="150">
        <f>D9+D15</f>
        <v>587000</v>
      </c>
      <c r="E8" s="151">
        <f t="shared" ref="E8:R8" si="0">E9+E12+E13+E15</f>
        <v>2371000</v>
      </c>
      <c r="F8" s="151">
        <f t="shared" si="0"/>
        <v>143500</v>
      </c>
      <c r="G8" s="151">
        <f t="shared" si="0"/>
        <v>2699000</v>
      </c>
      <c r="H8" s="151">
        <f t="shared" si="0"/>
        <v>289500</v>
      </c>
      <c r="I8" s="151">
        <f t="shared" si="0"/>
        <v>305000</v>
      </c>
      <c r="J8" s="151">
        <f t="shared" si="0"/>
        <v>27000</v>
      </c>
      <c r="K8" s="151">
        <f t="shared" si="0"/>
        <v>245000</v>
      </c>
      <c r="L8" s="151">
        <f t="shared" si="0"/>
        <v>15000</v>
      </c>
      <c r="M8" s="151">
        <f t="shared" si="0"/>
        <v>310000</v>
      </c>
      <c r="N8" s="151">
        <f t="shared" si="0"/>
        <v>10000</v>
      </c>
      <c r="O8" s="151">
        <f t="shared" si="0"/>
        <v>250000</v>
      </c>
      <c r="P8" s="151">
        <f t="shared" si="0"/>
        <v>75000</v>
      </c>
      <c r="Q8" s="293">
        <f t="shared" si="0"/>
        <v>13000000</v>
      </c>
      <c r="R8" s="293">
        <f t="shared" si="0"/>
        <v>560000</v>
      </c>
      <c r="S8" s="151"/>
      <c r="T8" s="151"/>
    </row>
    <row r="9" spans="1:22" s="153" customFormat="1">
      <c r="A9" s="363"/>
      <c r="B9" s="257" t="s">
        <v>111</v>
      </c>
      <c r="C9" s="257">
        <f>C10+C11</f>
        <v>6233000</v>
      </c>
      <c r="D9" s="257">
        <f t="shared" ref="D9:O9" si="1">D10+D11</f>
        <v>587000</v>
      </c>
      <c r="E9" s="256">
        <f>E10+E11</f>
        <v>2000000</v>
      </c>
      <c r="F9" s="256">
        <f>F10+F11</f>
        <v>60000</v>
      </c>
      <c r="G9" s="256">
        <f t="shared" si="1"/>
        <v>1700000</v>
      </c>
      <c r="H9" s="256">
        <f t="shared" si="1"/>
        <v>60000</v>
      </c>
      <c r="I9" s="256">
        <f>I10+I11</f>
        <v>245000</v>
      </c>
      <c r="J9" s="256">
        <f>J10+J11</f>
        <v>15000</v>
      </c>
      <c r="K9" s="256">
        <f>K10+K11</f>
        <v>245000</v>
      </c>
      <c r="L9" s="256">
        <f>L10+L11</f>
        <v>15000</v>
      </c>
      <c r="M9" s="256">
        <f>M10+M11</f>
        <v>310000</v>
      </c>
      <c r="N9" s="256">
        <f t="shared" si="1"/>
        <v>10000</v>
      </c>
      <c r="O9" s="256">
        <f t="shared" si="1"/>
        <v>250000</v>
      </c>
      <c r="P9" s="256">
        <f>P10+P11</f>
        <v>75000</v>
      </c>
      <c r="Q9" s="255">
        <f>Q10+Q11</f>
        <v>11570000</v>
      </c>
      <c r="R9" s="255">
        <f>R10+R11</f>
        <v>235000</v>
      </c>
    </row>
    <row r="10" spans="1:22" s="153" customFormat="1">
      <c r="A10" s="363"/>
      <c r="B10" s="257" t="s">
        <v>466</v>
      </c>
      <c r="C10" s="257">
        <v>6233000</v>
      </c>
      <c r="D10" s="257">
        <v>587000</v>
      </c>
      <c r="E10" s="256">
        <v>1700000</v>
      </c>
      <c r="F10" s="256"/>
      <c r="G10" s="256">
        <v>1400000</v>
      </c>
      <c r="H10" s="256"/>
      <c r="I10" s="256">
        <v>170000</v>
      </c>
      <c r="J10" s="256"/>
      <c r="K10" s="256">
        <v>170000</v>
      </c>
      <c r="L10" s="256"/>
      <c r="M10" s="256">
        <v>260000</v>
      </c>
      <c r="N10" s="256"/>
      <c r="O10" s="256">
        <v>200000</v>
      </c>
      <c r="P10" s="256">
        <v>40000</v>
      </c>
      <c r="Q10" s="255">
        <f>E10+G10+I10+K10+M10+O10+D10+C10</f>
        <v>10720000</v>
      </c>
      <c r="R10" s="260">
        <f>P10+N10+L10+J10+H10+F10</f>
        <v>40000</v>
      </c>
    </row>
    <row r="11" spans="1:22" s="153" customFormat="1">
      <c r="A11" s="363"/>
      <c r="B11" s="262" t="s">
        <v>467</v>
      </c>
      <c r="C11" s="257"/>
      <c r="D11" s="257"/>
      <c r="E11" s="256">
        <v>300000</v>
      </c>
      <c r="F11" s="256">
        <f>E11*20%</f>
        <v>60000</v>
      </c>
      <c r="G11" s="256">
        <v>300000</v>
      </c>
      <c r="H11" s="256">
        <f>G11*20%</f>
        <v>60000</v>
      </c>
      <c r="I11" s="256">
        <v>75000</v>
      </c>
      <c r="J11" s="256">
        <f>I11*20%</f>
        <v>15000</v>
      </c>
      <c r="K11" s="256">
        <v>75000</v>
      </c>
      <c r="L11" s="256">
        <f>K11*20%</f>
        <v>15000</v>
      </c>
      <c r="M11" s="256">
        <v>50000</v>
      </c>
      <c r="N11" s="256">
        <f>M11*20%</f>
        <v>10000</v>
      </c>
      <c r="O11" s="256">
        <v>50000</v>
      </c>
      <c r="P11" s="256">
        <f>O11*70%</f>
        <v>35000</v>
      </c>
      <c r="Q11" s="255">
        <f>E11+G11+I11+K11+M11+O11+D11</f>
        <v>850000</v>
      </c>
      <c r="R11" s="260">
        <f>P11+N11+L11+J11+H11+F11</f>
        <v>195000</v>
      </c>
    </row>
    <row r="12" spans="1:22" s="153" customFormat="1">
      <c r="A12" s="363"/>
      <c r="B12" s="609" t="s">
        <v>113</v>
      </c>
      <c r="C12" s="609"/>
      <c r="D12" s="609"/>
      <c r="E12" s="610">
        <v>31000</v>
      </c>
      <c r="F12" s="610">
        <f>E12*50%</f>
        <v>15500</v>
      </c>
      <c r="G12" s="610">
        <v>99000</v>
      </c>
      <c r="H12" s="610">
        <f>G12*50%</f>
        <v>49500</v>
      </c>
      <c r="I12" s="610"/>
      <c r="J12" s="610"/>
      <c r="K12" s="610"/>
      <c r="L12" s="610"/>
      <c r="M12" s="610"/>
      <c r="N12" s="610"/>
      <c r="O12" s="610"/>
      <c r="P12" s="610"/>
      <c r="Q12" s="611">
        <f>E12+G12+I12+K12+M12+O12</f>
        <v>130000</v>
      </c>
      <c r="R12" s="612">
        <f>P12+N12+L12+J12+H12+F12</f>
        <v>65000</v>
      </c>
    </row>
    <row r="13" spans="1:22" s="153" customFormat="1">
      <c r="A13" s="363"/>
      <c r="B13" s="609" t="s">
        <v>112</v>
      </c>
      <c r="C13" s="609"/>
      <c r="D13" s="609"/>
      <c r="E13" s="610">
        <f>E14</f>
        <v>340000</v>
      </c>
      <c r="F13" s="610">
        <f t="shared" ref="F13:R13" si="2">F14</f>
        <v>68000</v>
      </c>
      <c r="G13" s="610">
        <v>900000</v>
      </c>
      <c r="H13" s="610">
        <f>H14</f>
        <v>180000</v>
      </c>
      <c r="I13" s="610">
        <f t="shared" si="2"/>
        <v>60000</v>
      </c>
      <c r="J13" s="610">
        <f t="shared" si="2"/>
        <v>12000</v>
      </c>
      <c r="K13" s="610">
        <f t="shared" si="2"/>
        <v>0</v>
      </c>
      <c r="L13" s="610">
        <f t="shared" si="2"/>
        <v>0</v>
      </c>
      <c r="M13" s="610">
        <f t="shared" si="2"/>
        <v>0</v>
      </c>
      <c r="N13" s="610">
        <f t="shared" si="2"/>
        <v>0</v>
      </c>
      <c r="O13" s="610">
        <f t="shared" si="2"/>
        <v>0</v>
      </c>
      <c r="P13" s="610">
        <f t="shared" si="2"/>
        <v>0</v>
      </c>
      <c r="Q13" s="610">
        <f>Q14</f>
        <v>1300000</v>
      </c>
      <c r="R13" s="610">
        <f t="shared" si="2"/>
        <v>260000</v>
      </c>
    </row>
    <row r="14" spans="1:22" s="153" customFormat="1">
      <c r="A14" s="363"/>
      <c r="B14" s="609" t="s">
        <v>271</v>
      </c>
      <c r="C14" s="609"/>
      <c r="D14" s="609"/>
      <c r="E14" s="610">
        <v>340000</v>
      </c>
      <c r="F14" s="610">
        <f>E14*20%</f>
        <v>68000</v>
      </c>
      <c r="G14" s="610">
        <v>900000</v>
      </c>
      <c r="H14" s="610">
        <f>G14*20%</f>
        <v>180000</v>
      </c>
      <c r="I14" s="610">
        <v>60000</v>
      </c>
      <c r="J14" s="610">
        <f>I14*20%</f>
        <v>12000</v>
      </c>
      <c r="K14" s="610"/>
      <c r="L14" s="610"/>
      <c r="M14" s="610"/>
      <c r="N14" s="610">
        <f>M14*20%</f>
        <v>0</v>
      </c>
      <c r="O14" s="610"/>
      <c r="P14" s="610"/>
      <c r="Q14" s="611">
        <f>E14+G14+I14+K14+M14+O14</f>
        <v>1300000</v>
      </c>
      <c r="R14" s="611">
        <f>P14+N14+L14+J14+H14+F14</f>
        <v>260000</v>
      </c>
    </row>
    <row r="15" spans="1:22" s="153" customFormat="1">
      <c r="A15" s="363"/>
      <c r="B15" s="257" t="s">
        <v>744</v>
      </c>
      <c r="C15" s="257"/>
      <c r="D15" s="257"/>
      <c r="E15" s="256"/>
      <c r="F15" s="256"/>
      <c r="G15" s="256"/>
      <c r="H15" s="256"/>
      <c r="I15" s="256"/>
      <c r="J15" s="256"/>
      <c r="K15" s="256"/>
      <c r="L15" s="256"/>
      <c r="M15" s="256"/>
      <c r="N15" s="256"/>
      <c r="O15" s="256"/>
      <c r="P15" s="256"/>
      <c r="Q15" s="255"/>
      <c r="R15" s="255">
        <f>P15+N15+L15+J15+H15+F15</f>
        <v>0</v>
      </c>
    </row>
    <row r="16" spans="1:22" s="60" customFormat="1" ht="15.75" customHeight="1">
      <c r="A16" s="360">
        <v>2</v>
      </c>
      <c r="B16" s="245" t="s">
        <v>439</v>
      </c>
      <c r="C16" s="245"/>
      <c r="D16" s="245"/>
      <c r="E16" s="245">
        <v>220000</v>
      </c>
      <c r="F16" s="245">
        <f>E16</f>
        <v>220000</v>
      </c>
      <c r="G16" s="245">
        <v>260000</v>
      </c>
      <c r="H16" s="245">
        <f>G16</f>
        <v>260000</v>
      </c>
      <c r="I16" s="245">
        <v>150000</v>
      </c>
      <c r="J16" s="245">
        <f>I16</f>
        <v>150000</v>
      </c>
      <c r="K16" s="245">
        <v>140000</v>
      </c>
      <c r="L16" s="245">
        <f>K16</f>
        <v>140000</v>
      </c>
      <c r="M16" s="245">
        <v>165000</v>
      </c>
      <c r="N16" s="245">
        <f>M16</f>
        <v>165000</v>
      </c>
      <c r="O16" s="245">
        <v>15000</v>
      </c>
      <c r="P16" s="245">
        <f>O16</f>
        <v>15000</v>
      </c>
      <c r="Q16" s="294">
        <f>E16+G16+I16+K16+M16+O16</f>
        <v>950000</v>
      </c>
      <c r="R16" s="294">
        <f>P16+N16+L16+J16+H16+F16</f>
        <v>950000</v>
      </c>
      <c r="S16" s="292">
        <v>950000</v>
      </c>
      <c r="T16" s="153"/>
    </row>
    <row r="17" spans="1:20" s="60" customFormat="1">
      <c r="A17" s="364"/>
      <c r="B17" s="258"/>
      <c r="C17" s="258"/>
      <c r="D17" s="258"/>
      <c r="E17" s="256"/>
      <c r="F17" s="256"/>
      <c r="G17" s="256"/>
      <c r="H17" s="256"/>
      <c r="I17" s="256"/>
      <c r="J17" s="256"/>
      <c r="K17" s="256"/>
      <c r="L17" s="256"/>
      <c r="M17" s="256"/>
      <c r="N17" s="256"/>
      <c r="O17" s="256"/>
      <c r="P17" s="256"/>
      <c r="Q17" s="255"/>
      <c r="R17" s="260"/>
      <c r="T17" s="153"/>
    </row>
    <row r="18" spans="1:20" s="60" customFormat="1">
      <c r="A18" s="360">
        <v>3</v>
      </c>
      <c r="B18" s="296" t="s">
        <v>105</v>
      </c>
      <c r="C18" s="296"/>
      <c r="D18" s="296"/>
      <c r="E18" s="245">
        <v>10000000</v>
      </c>
      <c r="F18" s="245"/>
      <c r="G18" s="245">
        <v>3000000</v>
      </c>
      <c r="H18" s="245"/>
      <c r="I18" s="245">
        <v>10000000</v>
      </c>
      <c r="J18" s="245"/>
      <c r="K18" s="245">
        <v>4000000</v>
      </c>
      <c r="L18" s="245"/>
      <c r="M18" s="245">
        <v>7000000</v>
      </c>
      <c r="N18" s="245"/>
      <c r="O18" s="245">
        <v>2000000</v>
      </c>
      <c r="P18" s="245">
        <v>1000000</v>
      </c>
      <c r="Q18" s="294">
        <f>E18+G18+I18+K18+M18+O18</f>
        <v>36000000</v>
      </c>
      <c r="R18" s="294">
        <f>P18+N18+L18+J18+H18+F18</f>
        <v>1000000</v>
      </c>
      <c r="T18" s="153"/>
    </row>
    <row r="19" spans="1:20" s="60" customFormat="1">
      <c r="A19" s="360">
        <v>4</v>
      </c>
      <c r="B19" s="296" t="s">
        <v>779</v>
      </c>
      <c r="C19" s="296">
        <v>512000</v>
      </c>
      <c r="D19" s="296">
        <v>250000</v>
      </c>
      <c r="E19" s="245">
        <v>1500000</v>
      </c>
      <c r="F19" s="245"/>
      <c r="G19" s="245">
        <v>1600000</v>
      </c>
      <c r="H19" s="245"/>
      <c r="I19" s="245">
        <v>450000</v>
      </c>
      <c r="J19" s="245"/>
      <c r="K19" s="245">
        <f>190000+68000</f>
        <v>258000</v>
      </c>
      <c r="L19" s="245"/>
      <c r="M19" s="245">
        <v>350000</v>
      </c>
      <c r="N19" s="245"/>
      <c r="O19" s="245">
        <v>80000</v>
      </c>
      <c r="P19" s="245"/>
      <c r="Q19" s="294">
        <f>E19+G19+I19+K19+M19+O19+C19+D19</f>
        <v>5000000</v>
      </c>
      <c r="R19" s="294">
        <f>P19+N19+L19+J19+H19+F19</f>
        <v>0</v>
      </c>
      <c r="T19" s="153"/>
    </row>
    <row r="20" spans="1:20" s="60" customFormat="1">
      <c r="A20" s="360">
        <v>5</v>
      </c>
      <c r="B20" s="296" t="s">
        <v>349</v>
      </c>
      <c r="C20" s="296">
        <f>4700000-1130000+680000</f>
        <v>4250000</v>
      </c>
      <c r="D20" s="296"/>
      <c r="E20" s="245">
        <v>600000</v>
      </c>
      <c r="F20" s="245"/>
      <c r="G20" s="245">
        <v>400000</v>
      </c>
      <c r="H20" s="245"/>
      <c r="I20" s="245">
        <v>300000</v>
      </c>
      <c r="J20" s="245"/>
      <c r="K20" s="245">
        <v>350000</v>
      </c>
      <c r="L20" s="245"/>
      <c r="M20" s="245">
        <v>150000</v>
      </c>
      <c r="N20" s="245"/>
      <c r="O20" s="245"/>
      <c r="P20" s="245"/>
      <c r="Q20" s="294">
        <f>E20+G20+I20+K20+M20+O20+C20+D20</f>
        <v>6050000</v>
      </c>
      <c r="R20" s="294">
        <f>P20+N20+L20+J20+H20+F20</f>
        <v>0</v>
      </c>
      <c r="T20" s="153"/>
    </row>
    <row r="21" spans="1:20" s="60" customFormat="1">
      <c r="A21" s="360">
        <v>6</v>
      </c>
      <c r="B21" s="296" t="s">
        <v>350</v>
      </c>
      <c r="C21" s="296">
        <f>C22+C23</f>
        <v>15950000</v>
      </c>
      <c r="D21" s="296">
        <f t="shared" ref="D21:R21" si="3">D22+D23</f>
        <v>0</v>
      </c>
      <c r="E21" s="296">
        <f t="shared" si="3"/>
        <v>265000</v>
      </c>
      <c r="F21" s="296">
        <f t="shared" si="3"/>
        <v>265000</v>
      </c>
      <c r="G21" s="296">
        <f t="shared" si="3"/>
        <v>285000</v>
      </c>
      <c r="H21" s="296">
        <f t="shared" si="3"/>
        <v>285000</v>
      </c>
      <c r="I21" s="296">
        <f t="shared" si="3"/>
        <v>180000</v>
      </c>
      <c r="J21" s="296">
        <f t="shared" si="3"/>
        <v>180000</v>
      </c>
      <c r="K21" s="296">
        <f t="shared" si="3"/>
        <v>55000</v>
      </c>
      <c r="L21" s="296">
        <f t="shared" si="3"/>
        <v>55000</v>
      </c>
      <c r="M21" s="296">
        <f t="shared" si="3"/>
        <v>55000</v>
      </c>
      <c r="N21" s="296">
        <f t="shared" si="3"/>
        <v>55000</v>
      </c>
      <c r="O21" s="296">
        <f t="shared" si="3"/>
        <v>10000</v>
      </c>
      <c r="P21" s="296">
        <f t="shared" si="3"/>
        <v>10000</v>
      </c>
      <c r="Q21" s="296">
        <f>Q22+Q23</f>
        <v>16800000</v>
      </c>
      <c r="R21" s="296">
        <f t="shared" si="3"/>
        <v>850000</v>
      </c>
      <c r="S21" s="60">
        <f>S20-Q20</f>
        <v>-6050000</v>
      </c>
      <c r="T21" s="153"/>
    </row>
    <row r="22" spans="1:20" s="153" customFormat="1">
      <c r="A22" s="363"/>
      <c r="B22" s="261" t="s">
        <v>87</v>
      </c>
      <c r="C22" s="261"/>
      <c r="D22" s="261"/>
      <c r="E22" s="258">
        <v>265000</v>
      </c>
      <c r="F22" s="258">
        <f>E22</f>
        <v>265000</v>
      </c>
      <c r="G22" s="258">
        <v>285000</v>
      </c>
      <c r="H22" s="258">
        <f>G22</f>
        <v>285000</v>
      </c>
      <c r="I22" s="258">
        <v>180000</v>
      </c>
      <c r="J22" s="258">
        <f>I22</f>
        <v>180000</v>
      </c>
      <c r="K22" s="258">
        <v>55000</v>
      </c>
      <c r="L22" s="258">
        <f>K22</f>
        <v>55000</v>
      </c>
      <c r="M22" s="258">
        <v>55000</v>
      </c>
      <c r="N22" s="258">
        <f>M22</f>
        <v>55000</v>
      </c>
      <c r="O22" s="258">
        <v>10000</v>
      </c>
      <c r="P22" s="258">
        <f>O22</f>
        <v>10000</v>
      </c>
      <c r="Q22" s="295">
        <f>E22+G22+I22+K22+M22+O22+C22+D22</f>
        <v>850000</v>
      </c>
      <c r="R22" s="295">
        <f>P22+N22+L22+J22+H22+F22</f>
        <v>850000</v>
      </c>
    </row>
    <row r="23" spans="1:20" s="153" customFormat="1">
      <c r="A23" s="363"/>
      <c r="B23" s="261" t="s">
        <v>114</v>
      </c>
      <c r="C23" s="261">
        <v>15950000</v>
      </c>
      <c r="D23" s="261"/>
      <c r="E23" s="258"/>
      <c r="F23" s="258"/>
      <c r="G23" s="258"/>
      <c r="H23" s="258"/>
      <c r="I23" s="258"/>
      <c r="J23" s="258"/>
      <c r="K23" s="258"/>
      <c r="L23" s="258"/>
      <c r="M23" s="258"/>
      <c r="N23" s="258"/>
      <c r="O23" s="258"/>
      <c r="P23" s="258"/>
      <c r="Q23" s="295">
        <f>E23+G23+I23+K23+M23+O23+C23+D23</f>
        <v>15950000</v>
      </c>
      <c r="R23" s="295">
        <f>P23+N23+L23+J23+H23+F23</f>
        <v>0</v>
      </c>
    </row>
    <row r="24" spans="1:20" s="60" customFormat="1">
      <c r="A24" s="360">
        <v>7</v>
      </c>
      <c r="B24" s="296" t="s">
        <v>657</v>
      </c>
      <c r="C24" s="296">
        <f>C28+C29</f>
        <v>1250000</v>
      </c>
      <c r="D24" s="296">
        <f t="shared" ref="D24:R24" si="4">D25+D28+D29</f>
        <v>0</v>
      </c>
      <c r="E24" s="296">
        <f>E25+E28+E29</f>
        <v>699000</v>
      </c>
      <c r="F24" s="296">
        <f t="shared" si="4"/>
        <v>114000</v>
      </c>
      <c r="G24" s="296">
        <f t="shared" si="4"/>
        <v>720000</v>
      </c>
      <c r="H24" s="296">
        <f t="shared" si="4"/>
        <v>112000</v>
      </c>
      <c r="I24" s="296">
        <f t="shared" si="4"/>
        <v>95000</v>
      </c>
      <c r="J24" s="296">
        <f t="shared" si="4"/>
        <v>48000</v>
      </c>
      <c r="K24" s="296">
        <f t="shared" si="4"/>
        <v>111000</v>
      </c>
      <c r="L24" s="296">
        <f t="shared" si="4"/>
        <v>61000</v>
      </c>
      <c r="M24" s="296">
        <f t="shared" si="4"/>
        <v>98000</v>
      </c>
      <c r="N24" s="296">
        <f t="shared" si="4"/>
        <v>46000</v>
      </c>
      <c r="O24" s="296">
        <f t="shared" si="4"/>
        <v>27000</v>
      </c>
      <c r="P24" s="296">
        <f t="shared" si="4"/>
        <v>25000</v>
      </c>
      <c r="Q24" s="296">
        <f t="shared" si="4"/>
        <v>3000000</v>
      </c>
      <c r="R24" s="296">
        <f t="shared" si="4"/>
        <v>406000</v>
      </c>
      <c r="S24" s="183"/>
    </row>
    <row r="25" spans="1:20" s="60" customFormat="1" ht="14.25">
      <c r="A25" s="364"/>
      <c r="B25" s="261" t="s">
        <v>81</v>
      </c>
      <c r="C25" s="261"/>
      <c r="D25" s="261">
        <f>D26+D27</f>
        <v>0</v>
      </c>
      <c r="E25" s="261">
        <f>E26+E27</f>
        <v>369000</v>
      </c>
      <c r="F25" s="261">
        <f t="shared" ref="F25:P25" si="5">F26+F27</f>
        <v>34000</v>
      </c>
      <c r="G25" s="261">
        <f t="shared" si="5"/>
        <v>390000</v>
      </c>
      <c r="H25" s="261">
        <f t="shared" si="5"/>
        <v>32000</v>
      </c>
      <c r="I25" s="261">
        <f>I26+I27</f>
        <v>55000</v>
      </c>
      <c r="J25" s="261">
        <f t="shared" si="5"/>
        <v>8000</v>
      </c>
      <c r="K25" s="261">
        <f t="shared" si="5"/>
        <v>66000</v>
      </c>
      <c r="L25" s="261">
        <f t="shared" si="5"/>
        <v>16000</v>
      </c>
      <c r="M25" s="261">
        <f t="shared" si="5"/>
        <v>58000</v>
      </c>
      <c r="N25" s="261">
        <f t="shared" si="5"/>
        <v>6000</v>
      </c>
      <c r="O25" s="261">
        <f t="shared" si="5"/>
        <v>12000</v>
      </c>
      <c r="P25" s="261">
        <f t="shared" si="5"/>
        <v>10000</v>
      </c>
      <c r="Q25" s="261">
        <f>Q26+Q27</f>
        <v>950000</v>
      </c>
      <c r="R25" s="295">
        <f>P25+N25+L25+J25+H25+F25</f>
        <v>106000</v>
      </c>
      <c r="S25" s="183"/>
    </row>
    <row r="26" spans="1:20" s="60" customFormat="1" ht="14.25">
      <c r="A26" s="365"/>
      <c r="B26" s="261" t="s">
        <v>700</v>
      </c>
      <c r="C26" s="261"/>
      <c r="D26" s="261"/>
      <c r="E26" s="261">
        <v>85000</v>
      </c>
      <c r="F26" s="261">
        <f>E26*40%</f>
        <v>34000</v>
      </c>
      <c r="G26" s="261">
        <v>80000</v>
      </c>
      <c r="H26" s="261">
        <f>G26*40%</f>
        <v>32000</v>
      </c>
      <c r="I26" s="261">
        <v>20000</v>
      </c>
      <c r="J26" s="261">
        <f>I26*40%</f>
        <v>8000</v>
      </c>
      <c r="K26" s="261">
        <v>40000</v>
      </c>
      <c r="L26" s="261">
        <f>K26*40%</f>
        <v>16000</v>
      </c>
      <c r="M26" s="261">
        <v>15000</v>
      </c>
      <c r="N26" s="261">
        <f>M26*40%</f>
        <v>6000</v>
      </c>
      <c r="O26" s="261">
        <v>10000</v>
      </c>
      <c r="P26" s="261">
        <f>O26</f>
        <v>10000</v>
      </c>
      <c r="Q26" s="255">
        <f>E26+G26+I26+K26+M26+O26+C26+D26</f>
        <v>250000</v>
      </c>
      <c r="R26" s="260">
        <f>P26+N26+L26+J26+H26+F26</f>
        <v>106000</v>
      </c>
      <c r="S26" s="183"/>
    </row>
    <row r="27" spans="1:20" s="60" customFormat="1" ht="14.25">
      <c r="A27" s="365"/>
      <c r="B27" s="261" t="s">
        <v>323</v>
      </c>
      <c r="C27" s="261"/>
      <c r="D27" s="261"/>
      <c r="E27" s="261">
        <v>284000</v>
      </c>
      <c r="F27" s="261"/>
      <c r="G27" s="261">
        <v>310000</v>
      </c>
      <c r="H27" s="261"/>
      <c r="I27" s="261">
        <v>35000</v>
      </c>
      <c r="J27" s="261"/>
      <c r="K27" s="261">
        <v>26000</v>
      </c>
      <c r="L27" s="261"/>
      <c r="M27" s="261">
        <v>43000</v>
      </c>
      <c r="N27" s="261"/>
      <c r="O27" s="261">
        <v>2000</v>
      </c>
      <c r="P27" s="261"/>
      <c r="Q27" s="263">
        <f>E27+G27+I27+K27+M27+O27+C27+D27</f>
        <v>700000</v>
      </c>
      <c r="R27" s="261"/>
      <c r="S27" s="183"/>
    </row>
    <row r="28" spans="1:20" s="60" customFormat="1">
      <c r="A28" s="360"/>
      <c r="B28" s="261" t="s">
        <v>699</v>
      </c>
      <c r="C28" s="261">
        <v>1250000</v>
      </c>
      <c r="D28" s="261"/>
      <c r="E28" s="259">
        <v>250000</v>
      </c>
      <c r="F28" s="209"/>
      <c r="G28" s="259">
        <v>250000</v>
      </c>
      <c r="H28" s="379"/>
      <c r="I28" s="256"/>
      <c r="J28" s="264"/>
      <c r="K28" s="262"/>
      <c r="L28" s="379"/>
      <c r="M28" s="256"/>
      <c r="N28" s="256"/>
      <c r="O28" s="256"/>
      <c r="P28" s="264"/>
      <c r="Q28" s="263">
        <f>D28+E28+G28+I28+K28+M28+O28+C28</f>
        <v>1750000</v>
      </c>
      <c r="R28" s="379">
        <f>F28+H28+J28+L28+N28+P28</f>
        <v>0</v>
      </c>
      <c r="S28" s="183"/>
    </row>
    <row r="29" spans="1:20" s="153" customFormat="1">
      <c r="A29" s="363"/>
      <c r="B29" s="257" t="s">
        <v>698</v>
      </c>
      <c r="C29" s="257"/>
      <c r="D29" s="257"/>
      <c r="E29" s="256">
        <f>E30+E31</f>
        <v>80000</v>
      </c>
      <c r="F29" s="256">
        <f t="shared" ref="F29:R29" si="6">F30+F31</f>
        <v>80000</v>
      </c>
      <c r="G29" s="256">
        <f>G30+G31</f>
        <v>80000</v>
      </c>
      <c r="H29" s="256">
        <f t="shared" si="6"/>
        <v>80000</v>
      </c>
      <c r="I29" s="256">
        <f t="shared" si="6"/>
        <v>40000</v>
      </c>
      <c r="J29" s="256">
        <f t="shared" si="6"/>
        <v>40000</v>
      </c>
      <c r="K29" s="256">
        <f t="shared" si="6"/>
        <v>45000</v>
      </c>
      <c r="L29" s="256">
        <f t="shared" si="6"/>
        <v>45000</v>
      </c>
      <c r="M29" s="256">
        <f t="shared" si="6"/>
        <v>40000</v>
      </c>
      <c r="N29" s="256">
        <f t="shared" si="6"/>
        <v>40000</v>
      </c>
      <c r="O29" s="256">
        <f t="shared" si="6"/>
        <v>15000</v>
      </c>
      <c r="P29" s="256">
        <f t="shared" si="6"/>
        <v>15000</v>
      </c>
      <c r="Q29" s="255">
        <f t="shared" si="6"/>
        <v>300000</v>
      </c>
      <c r="R29" s="255">
        <f t="shared" si="6"/>
        <v>300000</v>
      </c>
      <c r="S29" s="361"/>
    </row>
    <row r="30" spans="1:20" s="153" customFormat="1">
      <c r="A30" s="363"/>
      <c r="B30" s="257" t="s">
        <v>103</v>
      </c>
      <c r="C30" s="257"/>
      <c r="D30" s="257"/>
      <c r="E30" s="256">
        <v>80000</v>
      </c>
      <c r="F30" s="256">
        <f>E30</f>
        <v>80000</v>
      </c>
      <c r="G30" s="256">
        <v>80000</v>
      </c>
      <c r="H30" s="256">
        <f>G30</f>
        <v>80000</v>
      </c>
      <c r="I30" s="256">
        <v>40000</v>
      </c>
      <c r="J30" s="256">
        <f>I30</f>
        <v>40000</v>
      </c>
      <c r="K30" s="256">
        <v>45000</v>
      </c>
      <c r="L30" s="256">
        <f>K30</f>
        <v>45000</v>
      </c>
      <c r="M30" s="256">
        <v>40000</v>
      </c>
      <c r="N30" s="256">
        <f>M30</f>
        <v>40000</v>
      </c>
      <c r="O30" s="256">
        <v>15000</v>
      </c>
      <c r="P30" s="256">
        <f>O30</f>
        <v>15000</v>
      </c>
      <c r="Q30" s="255">
        <f t="shared" ref="Q30:R32" si="7">E30+G30+I30+K30+M30+O30</f>
        <v>300000</v>
      </c>
      <c r="R30" s="255">
        <f t="shared" si="7"/>
        <v>300000</v>
      </c>
      <c r="S30" s="361"/>
    </row>
    <row r="31" spans="1:20" s="153" customFormat="1" ht="39" hidden="1" customHeight="1">
      <c r="A31" s="363"/>
      <c r="B31" s="366" t="s">
        <v>743</v>
      </c>
      <c r="C31" s="257"/>
      <c r="D31" s="257"/>
      <c r="E31" s="256"/>
      <c r="F31" s="256"/>
      <c r="G31" s="256"/>
      <c r="H31" s="256"/>
      <c r="I31" s="256"/>
      <c r="J31" s="256"/>
      <c r="K31" s="256"/>
      <c r="L31" s="256"/>
      <c r="M31" s="256"/>
      <c r="N31" s="256"/>
      <c r="O31" s="256"/>
      <c r="P31" s="256"/>
      <c r="Q31" s="255">
        <f t="shared" si="7"/>
        <v>0</v>
      </c>
      <c r="R31" s="260">
        <f t="shared" si="7"/>
        <v>0</v>
      </c>
    </row>
    <row r="32" spans="1:20" s="60" customFormat="1">
      <c r="A32" s="360">
        <v>8</v>
      </c>
      <c r="B32" s="296" t="s">
        <v>658</v>
      </c>
      <c r="C32" s="296"/>
      <c r="D32" s="296"/>
      <c r="E32" s="245">
        <v>80000</v>
      </c>
      <c r="F32" s="245">
        <f>E32</f>
        <v>80000</v>
      </c>
      <c r="G32" s="245">
        <v>80000</v>
      </c>
      <c r="H32" s="245">
        <f>G32</f>
        <v>80000</v>
      </c>
      <c r="I32" s="245">
        <v>60000</v>
      </c>
      <c r="J32" s="245">
        <f>I32</f>
        <v>60000</v>
      </c>
      <c r="K32" s="245">
        <v>60000</v>
      </c>
      <c r="L32" s="245">
        <f>K32</f>
        <v>60000</v>
      </c>
      <c r="M32" s="245">
        <v>60000</v>
      </c>
      <c r="N32" s="245">
        <f>M32</f>
        <v>60000</v>
      </c>
      <c r="O32" s="245">
        <v>60000</v>
      </c>
      <c r="P32" s="245">
        <f>O32</f>
        <v>60000</v>
      </c>
      <c r="Q32" s="294">
        <f t="shared" si="7"/>
        <v>400000</v>
      </c>
      <c r="R32" s="245">
        <f t="shared" si="7"/>
        <v>400000</v>
      </c>
      <c r="S32" s="60">
        <f>Q32-2999000</f>
        <v>-2599000</v>
      </c>
    </row>
    <row r="33" spans="1:19" s="153" customFormat="1">
      <c r="A33" s="367">
        <v>9</v>
      </c>
      <c r="B33" s="368" t="s">
        <v>272</v>
      </c>
      <c r="C33" s="368">
        <v>500000</v>
      </c>
      <c r="D33" s="369"/>
      <c r="E33" s="359"/>
      <c r="F33" s="359"/>
      <c r="G33" s="359"/>
      <c r="H33" s="359"/>
      <c r="I33" s="359"/>
      <c r="J33" s="359"/>
      <c r="K33" s="359"/>
      <c r="L33" s="359"/>
      <c r="M33" s="359"/>
      <c r="N33" s="359"/>
      <c r="O33" s="359"/>
      <c r="P33" s="359"/>
      <c r="Q33" s="294">
        <f>E33+G33+I33+K33+M33+O33+C33+D33</f>
        <v>500000</v>
      </c>
      <c r="R33" s="294">
        <f>P33+N33+L33+J33+H33+F33</f>
        <v>0</v>
      </c>
    </row>
    <row r="34" spans="1:19" s="60" customFormat="1">
      <c r="A34" s="360">
        <v>9</v>
      </c>
      <c r="B34" s="245" t="s">
        <v>61</v>
      </c>
      <c r="C34" s="245">
        <f>C35</f>
        <v>500000</v>
      </c>
      <c r="D34" s="245"/>
      <c r="E34" s="359"/>
      <c r="F34" s="245"/>
      <c r="G34" s="359"/>
      <c r="H34" s="245"/>
      <c r="I34" s="359"/>
      <c r="J34" s="245"/>
      <c r="K34" s="359"/>
      <c r="L34" s="245"/>
      <c r="M34" s="359"/>
      <c r="N34" s="245"/>
      <c r="O34" s="359"/>
      <c r="P34" s="245"/>
      <c r="Q34" s="294">
        <f>E34+G34+I34+K34+M34+O34+C34+D34</f>
        <v>500000</v>
      </c>
      <c r="R34" s="294">
        <f>P34+N34+L34+J34+H34+F34</f>
        <v>0</v>
      </c>
    </row>
    <row r="35" spans="1:19" s="153" customFormat="1">
      <c r="A35" s="363"/>
      <c r="B35" s="370" t="s">
        <v>62</v>
      </c>
      <c r="C35" s="370">
        <v>500000</v>
      </c>
      <c r="D35" s="262"/>
      <c r="E35" s="262"/>
      <c r="F35" s="262"/>
      <c r="G35" s="262"/>
      <c r="H35" s="262"/>
      <c r="I35" s="262"/>
      <c r="J35" s="262"/>
      <c r="K35" s="262"/>
      <c r="L35" s="262"/>
      <c r="M35" s="262"/>
      <c r="N35" s="262"/>
      <c r="O35" s="262"/>
      <c r="P35" s="262"/>
      <c r="Q35" s="263">
        <f>E35+G35+I35+K35+M35+O35+C35+D35</f>
        <v>500000</v>
      </c>
      <c r="R35" s="263">
        <f>P35+N35+L35+J35+H35+F35</f>
        <v>0</v>
      </c>
    </row>
    <row r="36" spans="1:19" s="60" customFormat="1">
      <c r="A36" s="371">
        <v>10</v>
      </c>
      <c r="B36" s="372" t="s">
        <v>160</v>
      </c>
      <c r="C36" s="372">
        <v>4800000</v>
      </c>
      <c r="D36" s="372"/>
      <c r="E36" s="373"/>
      <c r="F36" s="372"/>
      <c r="G36" s="373"/>
      <c r="H36" s="372"/>
      <c r="I36" s="373"/>
      <c r="J36" s="372"/>
      <c r="K36" s="373"/>
      <c r="L36" s="372"/>
      <c r="M36" s="373"/>
      <c r="N36" s="372"/>
      <c r="O36" s="373"/>
      <c r="P36" s="372"/>
      <c r="Q36" s="374">
        <f>E36+G36+I36+K36+M36+O36+C36+D36</f>
        <v>4800000</v>
      </c>
      <c r="R36" s="374">
        <f>P36+N36+L36+J36+H36+F36</f>
        <v>0</v>
      </c>
    </row>
    <row r="37" spans="1:19" s="48" customFormat="1">
      <c r="A37" s="375"/>
      <c r="B37" s="375" t="s">
        <v>86</v>
      </c>
      <c r="C37" s="376">
        <f>C8+C16+C19+C20+C21+C24+C33+C34+C36</f>
        <v>33995000</v>
      </c>
      <c r="D37" s="376">
        <f>D8+D16+D19+D20+D21+D24+D33+D34+D36</f>
        <v>837000</v>
      </c>
      <c r="E37" s="266">
        <f>E8+E16+E18+E19+E20+E21+E24+E32+E36+E34+E33</f>
        <v>15735000</v>
      </c>
      <c r="F37" s="266">
        <f>F8+F16+F18+F19+F20+F21+F24+F32+F36+F34+F33</f>
        <v>822500</v>
      </c>
      <c r="G37" s="266">
        <f>G8+G16+G18+G19+G20+G21+G24+G32+G36+G34+G33</f>
        <v>9044000</v>
      </c>
      <c r="H37" s="266">
        <f t="shared" ref="H37:O37" si="8">H8+H16+H18+H19+H20+H21+H24+H32+H36+H34+H33</f>
        <v>1026500</v>
      </c>
      <c r="I37" s="266">
        <f t="shared" si="8"/>
        <v>11540000</v>
      </c>
      <c r="J37" s="266">
        <f t="shared" si="8"/>
        <v>465000</v>
      </c>
      <c r="K37" s="266">
        <f t="shared" si="8"/>
        <v>5219000</v>
      </c>
      <c r="L37" s="266">
        <f>L8+L16+L18+L19+L20+L21+L24+L32+L36+L34+L33</f>
        <v>331000</v>
      </c>
      <c r="M37" s="266">
        <f t="shared" si="8"/>
        <v>8188000</v>
      </c>
      <c r="N37" s="266">
        <f t="shared" si="8"/>
        <v>336000</v>
      </c>
      <c r="O37" s="266">
        <f t="shared" si="8"/>
        <v>2442000</v>
      </c>
      <c r="P37" s="266">
        <f>P8+P16+P18+P19+P20+P21+P24+P32</f>
        <v>1185000</v>
      </c>
      <c r="Q37" s="266">
        <f>Q8+Q16+Q18+Q19+Q20+Q21+Q24+Q32+Q36+Q34+Q33</f>
        <v>87000000</v>
      </c>
      <c r="R37" s="266">
        <f>R8+R16+R17+R18+R21+R24+R32</f>
        <v>4166000</v>
      </c>
      <c r="S37" s="48">
        <f>E37+G37+I37+K37+M37+O37</f>
        <v>52168000</v>
      </c>
    </row>
    <row r="38" spans="1:19" s="48" customFormat="1">
      <c r="A38" s="252"/>
      <c r="B38" s="252"/>
      <c r="C38" s="240"/>
      <c r="D38" s="240"/>
      <c r="E38" s="253"/>
      <c r="F38" s="253"/>
      <c r="G38" s="253"/>
      <c r="H38" s="253"/>
      <c r="I38" s="253"/>
      <c r="J38" s="253"/>
      <c r="K38" s="253"/>
      <c r="L38" s="253"/>
      <c r="M38" s="253"/>
      <c r="N38" s="253"/>
      <c r="O38" s="253"/>
      <c r="P38" s="253"/>
      <c r="Q38" s="253"/>
      <c r="R38" s="253"/>
    </row>
    <row r="39" spans="1:19" s="155" customFormat="1">
      <c r="A39" s="154"/>
      <c r="M39" s="362"/>
      <c r="N39" s="1100" t="s">
        <v>1162</v>
      </c>
      <c r="O39" s="1100"/>
      <c r="P39" s="1100"/>
      <c r="Q39" s="1100"/>
      <c r="R39" s="1100"/>
    </row>
    <row r="40" spans="1:19" s="156" customFormat="1" ht="14.25">
      <c r="A40" s="905"/>
      <c r="B40" s="377"/>
      <c r="C40" s="1101"/>
      <c r="D40" s="1101"/>
      <c r="E40" s="1101"/>
      <c r="F40" s="1101"/>
      <c r="G40" s="74"/>
      <c r="M40" s="1101" t="s">
        <v>192</v>
      </c>
      <c r="N40" s="1101"/>
      <c r="O40" s="1101"/>
      <c r="P40" s="1101"/>
      <c r="Q40" s="1101"/>
      <c r="R40" s="1101"/>
    </row>
    <row r="41" spans="1:19" s="155" customFormat="1">
      <c r="A41" s="154"/>
      <c r="B41" s="60"/>
      <c r="C41" s="60"/>
      <c r="D41" s="60"/>
      <c r="M41" s="157"/>
      <c r="N41" s="157"/>
      <c r="O41" s="157"/>
      <c r="P41" s="157"/>
      <c r="Q41" s="157"/>
    </row>
    <row r="42" spans="1:19" s="155" customFormat="1">
      <c r="A42" s="154"/>
      <c r="B42" s="60"/>
      <c r="C42" s="60"/>
      <c r="D42" s="60"/>
      <c r="M42" s="157"/>
      <c r="N42" s="157"/>
      <c r="O42" s="157"/>
      <c r="P42" s="157"/>
      <c r="Q42" s="157"/>
    </row>
    <row r="43" spans="1:19" s="155" customFormat="1">
      <c r="A43" s="154"/>
      <c r="B43" s="60"/>
      <c r="C43" s="60"/>
      <c r="D43" s="60"/>
      <c r="M43" s="157"/>
      <c r="N43" s="157"/>
      <c r="O43" s="157"/>
      <c r="P43" s="157"/>
      <c r="Q43" s="157"/>
    </row>
    <row r="44" spans="1:19" s="155" customFormat="1">
      <c r="A44" s="154"/>
      <c r="B44" s="60"/>
      <c r="C44" s="60"/>
      <c r="D44" s="60"/>
      <c r="M44" s="157"/>
      <c r="N44" s="157"/>
      <c r="O44" s="157"/>
      <c r="P44" s="157"/>
      <c r="Q44" s="157"/>
    </row>
    <row r="45" spans="1:19" s="155" customFormat="1">
      <c r="A45" s="154"/>
      <c r="B45" s="378"/>
      <c r="C45" s="1101"/>
      <c r="D45" s="1101"/>
      <c r="E45" s="1101"/>
      <c r="F45" s="1101"/>
      <c r="M45" s="377"/>
      <c r="N45" s="1104" t="s">
        <v>193</v>
      </c>
      <c r="O45" s="1104"/>
      <c r="P45" s="1104"/>
      <c r="Q45" s="1104"/>
      <c r="R45" s="1104"/>
    </row>
    <row r="46" spans="1:19" s="155" customFormat="1" ht="14.25">
      <c r="A46" s="154"/>
    </row>
    <row r="47" spans="1:19" s="155" customFormat="1" ht="14.25">
      <c r="A47" s="154"/>
    </row>
    <row r="48" spans="1:19" s="155" customFormat="1" ht="14.25">
      <c r="A48" s="154"/>
      <c r="E48" s="392"/>
    </row>
    <row r="54" spans="5:9">
      <c r="E54" s="60"/>
      <c r="F54" s="60"/>
      <c r="G54" s="155"/>
      <c r="H54" s="155"/>
      <c r="I54" s="155"/>
    </row>
    <row r="55" spans="5:9">
      <c r="E55" s="60"/>
      <c r="F55" s="60"/>
      <c r="G55" s="155"/>
      <c r="H55" s="155"/>
      <c r="I55" s="155"/>
    </row>
    <row r="56" spans="5:9">
      <c r="E56" s="60"/>
      <c r="F56" s="60"/>
      <c r="G56" s="60"/>
      <c r="H56" s="155"/>
      <c r="I56" s="60"/>
    </row>
  </sheetData>
  <mergeCells count="19">
    <mergeCell ref="C45:F45"/>
    <mergeCell ref="N45:R45"/>
    <mergeCell ref="K6:L6"/>
    <mergeCell ref="M6:N6"/>
    <mergeCell ref="O6:P6"/>
    <mergeCell ref="Q6:R6"/>
    <mergeCell ref="N39:R39"/>
    <mergeCell ref="C40:F40"/>
    <mergeCell ref="M40:R40"/>
    <mergeCell ref="F1:O1"/>
    <mergeCell ref="C4:O4"/>
    <mergeCell ref="O5:R5"/>
    <mergeCell ref="A6:A7"/>
    <mergeCell ref="B6:B7"/>
    <mergeCell ref="C6:C7"/>
    <mergeCell ref="D6:D7"/>
    <mergeCell ref="E6:F6"/>
    <mergeCell ref="G6:H6"/>
    <mergeCell ref="I6:J6"/>
  </mergeCells>
  <pageMargins left="0.45" right="0.25" top="0.25" bottom="0.25" header="0.3" footer="0.3"/>
  <pageSetup paperSize="9" scale="83" orientation="landscape" verticalDpi="0" r:id="rId1"/>
</worksheet>
</file>

<file path=xl/worksheets/sheet14.xml><?xml version="1.0" encoding="utf-8"?>
<worksheet xmlns="http://schemas.openxmlformats.org/spreadsheetml/2006/main" xmlns:r="http://schemas.openxmlformats.org/officeDocument/2006/relationships">
  <sheetPr>
    <tabColor rgb="FFFFFF00"/>
  </sheetPr>
  <dimension ref="A1:AR58"/>
  <sheetViews>
    <sheetView workbookViewId="0">
      <selection activeCell="K21" sqref="K21"/>
    </sheetView>
  </sheetViews>
  <sheetFormatPr defaultRowHeight="15"/>
  <cols>
    <col min="1" max="1" width="3.375" style="147" customWidth="1"/>
    <col min="2" max="2" width="18" style="145" customWidth="1"/>
    <col min="3" max="3" width="8.5" style="145" customWidth="1"/>
    <col min="4" max="4" width="7.875" style="145" customWidth="1"/>
    <col min="5" max="5" width="9" style="145" customWidth="1"/>
    <col min="6" max="6" width="7.75" style="145" customWidth="1"/>
    <col min="7" max="7" width="4.75" style="145" customWidth="1"/>
    <col min="8" max="8" width="6.125" style="145" customWidth="1"/>
    <col min="9" max="9" width="8.5" style="145" customWidth="1"/>
    <col min="10" max="10" width="7.875" style="145" customWidth="1"/>
    <col min="11" max="12" width="8.5" style="145" customWidth="1"/>
    <col min="13" max="13" width="4.75" style="145" customWidth="1"/>
    <col min="14" max="14" width="4.125" style="145" customWidth="1"/>
    <col min="15" max="15" width="8.75" style="145" customWidth="1"/>
    <col min="16" max="16" width="6.875" style="145" customWidth="1"/>
    <col min="17" max="17" width="9.25" style="145" customWidth="1"/>
    <col min="18" max="18" width="7.25" style="145" customWidth="1"/>
    <col min="19" max="19" width="4.875" style="145" customWidth="1"/>
    <col min="20" max="20" width="5.125" style="145" customWidth="1"/>
    <col min="21" max="21" width="7.875" style="145" customWidth="1"/>
    <col min="22" max="22" width="6.375" style="145" customWidth="1"/>
    <col min="23" max="23" width="8.25" style="145" customWidth="1"/>
    <col min="24" max="24" width="8.5" style="145" customWidth="1"/>
    <col min="25" max="25" width="4.25" style="145" customWidth="1"/>
    <col min="26" max="26" width="4.5" style="145" customWidth="1"/>
    <col min="27" max="27" width="7.625" style="145" customWidth="1"/>
    <col min="28" max="28" width="7.25" style="145" customWidth="1"/>
    <col min="29" max="29" width="7.5" style="145" customWidth="1"/>
    <col min="30" max="30" width="7.25" style="145" customWidth="1"/>
    <col min="31" max="31" width="4.375" style="145" customWidth="1"/>
    <col min="32" max="32" width="4.625" style="145" customWidth="1"/>
    <col min="33" max="36" width="7.875" style="145" customWidth="1"/>
    <col min="37" max="37" width="4.625" style="145" customWidth="1"/>
    <col min="38" max="38" width="4.25" style="145" customWidth="1"/>
    <col min="39" max="39" width="8.625" style="145" customWidth="1"/>
    <col min="40" max="40" width="8.375" style="145" customWidth="1"/>
    <col min="41" max="41" width="8.875" style="145" customWidth="1"/>
    <col min="42" max="42" width="8" style="145" customWidth="1"/>
    <col min="43" max="43" width="4.625" style="145" customWidth="1"/>
    <col min="44" max="44" width="4.125" style="145" customWidth="1"/>
    <col min="45" max="16384" width="9" style="145"/>
  </cols>
  <sheetData>
    <row r="1" spans="1:44" ht="17.25">
      <c r="A1" s="406" t="s">
        <v>438</v>
      </c>
      <c r="C1" s="146"/>
      <c r="D1" s="1092"/>
      <c r="E1" s="1092"/>
      <c r="F1" s="1092"/>
      <c r="G1" s="1092"/>
      <c r="H1" s="1092"/>
      <c r="I1" s="1092"/>
      <c r="J1" s="1092"/>
      <c r="K1" s="1092"/>
      <c r="L1" s="1092"/>
      <c r="M1" s="1092"/>
      <c r="N1" s="1092"/>
      <c r="O1" s="1092"/>
      <c r="P1" s="1092"/>
      <c r="Q1" s="1092"/>
      <c r="R1" s="1092"/>
      <c r="S1" s="1092"/>
      <c r="T1" s="1092"/>
      <c r="U1" s="1092"/>
      <c r="V1" s="1092"/>
      <c r="W1" s="1092"/>
      <c r="X1" s="1092"/>
      <c r="Y1" s="1092"/>
      <c r="Z1" s="1092"/>
      <c r="AA1" s="1092"/>
      <c r="AB1" s="1092"/>
      <c r="AC1" s="1092"/>
      <c r="AD1" s="1092"/>
      <c r="AE1" s="1092"/>
      <c r="AF1" s="1092"/>
      <c r="AG1" s="1092"/>
      <c r="AH1" s="146"/>
      <c r="AI1" s="146"/>
      <c r="AJ1" s="146"/>
      <c r="AK1" s="146"/>
      <c r="AL1" s="146"/>
      <c r="AM1" s="146"/>
    </row>
    <row r="2" spans="1:44" ht="17.25">
      <c r="A2" s="401" t="s">
        <v>674</v>
      </c>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G2" s="404"/>
      <c r="AH2" s="404"/>
      <c r="AI2" s="404"/>
      <c r="AJ2" s="404"/>
      <c r="AK2" s="404"/>
      <c r="AL2" s="404"/>
      <c r="AM2" s="404"/>
    </row>
    <row r="3" spans="1:44" ht="17.25">
      <c r="A3" s="401"/>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4"/>
      <c r="AI3" s="404"/>
      <c r="AJ3" s="404"/>
      <c r="AK3" s="404"/>
      <c r="AL3" s="404"/>
      <c r="AM3" s="404"/>
    </row>
    <row r="4" spans="1:44" ht="17.25" customHeight="1">
      <c r="A4" s="1101" t="s">
        <v>1234</v>
      </c>
      <c r="B4" s="1101"/>
      <c r="C4" s="1101"/>
      <c r="D4" s="1101"/>
      <c r="E4" s="1101"/>
      <c r="F4" s="1101"/>
      <c r="G4" s="1101"/>
      <c r="H4" s="1101"/>
      <c r="I4" s="1101"/>
      <c r="J4" s="1101"/>
      <c r="K4" s="1101"/>
      <c r="L4" s="1101"/>
      <c r="M4" s="1101"/>
      <c r="N4" s="1101"/>
      <c r="O4" s="1101"/>
      <c r="P4" s="1101"/>
      <c r="Q4" s="1101"/>
      <c r="R4" s="1101"/>
      <c r="S4" s="1101"/>
      <c r="T4" s="1101"/>
      <c r="U4" s="1101"/>
      <c r="V4" s="1101"/>
      <c r="W4" s="1101"/>
      <c r="X4" s="1101"/>
      <c r="Y4" s="1101"/>
      <c r="Z4" s="1101"/>
      <c r="AA4" s="1101"/>
      <c r="AB4" s="1101"/>
      <c r="AC4" s="1101"/>
      <c r="AD4" s="1101"/>
      <c r="AE4" s="1101"/>
      <c r="AF4" s="1101"/>
      <c r="AG4" s="1101"/>
      <c r="AH4" s="1101"/>
      <c r="AI4" s="1101"/>
      <c r="AJ4" s="1101"/>
      <c r="AK4" s="1101"/>
      <c r="AL4" s="1101"/>
      <c r="AM4" s="1101"/>
      <c r="AN4" s="1101"/>
      <c r="AO4" s="1101"/>
      <c r="AP4" s="1101"/>
      <c r="AQ4" s="1101"/>
      <c r="AR4" s="1101"/>
    </row>
    <row r="5" spans="1:44" ht="16.5">
      <c r="B5" s="148"/>
      <c r="AA5" s="49"/>
      <c r="AG5" s="1093" t="s">
        <v>669</v>
      </c>
      <c r="AH5" s="1093"/>
      <c r="AI5" s="1093"/>
      <c r="AJ5" s="1093"/>
      <c r="AK5" s="1093"/>
      <c r="AL5" s="1093"/>
      <c r="AM5" s="1107"/>
      <c r="AN5" s="1107"/>
    </row>
    <row r="6" spans="1:44" s="149" customFormat="1" ht="18" customHeight="1">
      <c r="A6" s="1088" t="s">
        <v>76</v>
      </c>
      <c r="B6" s="1089" t="s">
        <v>73</v>
      </c>
      <c r="C6" s="1097" t="s">
        <v>750</v>
      </c>
      <c r="D6" s="1098"/>
      <c r="E6" s="1098"/>
      <c r="F6" s="1098"/>
      <c r="G6" s="1098"/>
      <c r="H6" s="1099"/>
      <c r="I6" s="1097" t="s">
        <v>751</v>
      </c>
      <c r="J6" s="1098"/>
      <c r="K6" s="1098"/>
      <c r="L6" s="1098"/>
      <c r="M6" s="1098"/>
      <c r="N6" s="1099"/>
      <c r="O6" s="1097" t="s">
        <v>108</v>
      </c>
      <c r="P6" s="1098"/>
      <c r="Q6" s="1098"/>
      <c r="R6" s="1098"/>
      <c r="S6" s="1098"/>
      <c r="T6" s="1099"/>
      <c r="U6" s="1097" t="s">
        <v>109</v>
      </c>
      <c r="V6" s="1098"/>
      <c r="W6" s="1098"/>
      <c r="X6" s="1098"/>
      <c r="Y6" s="1098"/>
      <c r="Z6" s="1099"/>
      <c r="AA6" s="1097" t="s">
        <v>110</v>
      </c>
      <c r="AB6" s="1098"/>
      <c r="AC6" s="1098"/>
      <c r="AD6" s="1098"/>
      <c r="AE6" s="1098"/>
      <c r="AF6" s="1099"/>
      <c r="AG6" s="1088" t="s">
        <v>571</v>
      </c>
      <c r="AH6" s="1088"/>
      <c r="AI6" s="403"/>
      <c r="AJ6" s="403"/>
      <c r="AK6" s="403"/>
      <c r="AL6" s="403"/>
      <c r="AM6" s="1105" t="s">
        <v>420</v>
      </c>
      <c r="AN6" s="1108"/>
      <c r="AO6" s="1108"/>
      <c r="AP6" s="1108"/>
      <c r="AQ6" s="1108"/>
      <c r="AR6" s="1106"/>
    </row>
    <row r="7" spans="1:44" s="149" customFormat="1" ht="68.25" customHeight="1">
      <c r="A7" s="1088"/>
      <c r="B7" s="1089"/>
      <c r="C7" s="1105" t="s">
        <v>773</v>
      </c>
      <c r="D7" s="1106"/>
      <c r="E7" s="1105" t="s">
        <v>824</v>
      </c>
      <c r="F7" s="1106"/>
      <c r="G7" s="1105" t="s">
        <v>825</v>
      </c>
      <c r="H7" s="1106"/>
      <c r="I7" s="1105" t="s">
        <v>773</v>
      </c>
      <c r="J7" s="1106"/>
      <c r="K7" s="1105" t="s">
        <v>824</v>
      </c>
      <c r="L7" s="1106"/>
      <c r="M7" s="1105" t="s">
        <v>826</v>
      </c>
      <c r="N7" s="1106"/>
      <c r="O7" s="1105" t="s">
        <v>773</v>
      </c>
      <c r="P7" s="1106"/>
      <c r="Q7" s="1105" t="s">
        <v>824</v>
      </c>
      <c r="R7" s="1106"/>
      <c r="S7" s="1105" t="s">
        <v>825</v>
      </c>
      <c r="T7" s="1106"/>
      <c r="U7" s="1105" t="s">
        <v>773</v>
      </c>
      <c r="V7" s="1106"/>
      <c r="W7" s="1105" t="s">
        <v>824</v>
      </c>
      <c r="X7" s="1106"/>
      <c r="Y7" s="1105" t="s">
        <v>826</v>
      </c>
      <c r="Z7" s="1106"/>
      <c r="AA7" s="1105" t="s">
        <v>773</v>
      </c>
      <c r="AB7" s="1106"/>
      <c r="AC7" s="1105" t="s">
        <v>824</v>
      </c>
      <c r="AD7" s="1106"/>
      <c r="AE7" s="1105" t="s">
        <v>826</v>
      </c>
      <c r="AF7" s="1106"/>
      <c r="AG7" s="1105" t="s">
        <v>773</v>
      </c>
      <c r="AH7" s="1106"/>
      <c r="AI7" s="1105" t="s">
        <v>824</v>
      </c>
      <c r="AJ7" s="1106"/>
      <c r="AK7" s="1105" t="s">
        <v>826</v>
      </c>
      <c r="AL7" s="1106"/>
      <c r="AM7" s="1105" t="s">
        <v>773</v>
      </c>
      <c r="AN7" s="1106"/>
      <c r="AO7" s="1105" t="s">
        <v>824</v>
      </c>
      <c r="AP7" s="1106"/>
      <c r="AQ7" s="1105" t="s">
        <v>826</v>
      </c>
      <c r="AR7" s="1106"/>
    </row>
    <row r="8" spans="1:44" s="149" customFormat="1" ht="82.5" customHeight="1">
      <c r="A8" s="1088"/>
      <c r="B8" s="1089"/>
      <c r="C8" s="405" t="s">
        <v>59</v>
      </c>
      <c r="D8" s="405" t="s">
        <v>524</v>
      </c>
      <c r="E8" s="405" t="s">
        <v>59</v>
      </c>
      <c r="F8" s="405" t="s">
        <v>524</v>
      </c>
      <c r="G8" s="405" t="s">
        <v>59</v>
      </c>
      <c r="H8" s="405" t="s">
        <v>524</v>
      </c>
      <c r="I8" s="405" t="s">
        <v>59</v>
      </c>
      <c r="J8" s="405" t="s">
        <v>524</v>
      </c>
      <c r="K8" s="405" t="s">
        <v>59</v>
      </c>
      <c r="L8" s="405" t="s">
        <v>524</v>
      </c>
      <c r="M8" s="405" t="s">
        <v>59</v>
      </c>
      <c r="N8" s="405" t="s">
        <v>524</v>
      </c>
      <c r="O8" s="405" t="s">
        <v>59</v>
      </c>
      <c r="P8" s="405" t="s">
        <v>524</v>
      </c>
      <c r="Q8" s="405" t="s">
        <v>59</v>
      </c>
      <c r="R8" s="405" t="s">
        <v>524</v>
      </c>
      <c r="S8" s="405" t="s">
        <v>59</v>
      </c>
      <c r="T8" s="405" t="s">
        <v>524</v>
      </c>
      <c r="U8" s="405" t="s">
        <v>59</v>
      </c>
      <c r="V8" s="405" t="s">
        <v>524</v>
      </c>
      <c r="W8" s="405" t="s">
        <v>59</v>
      </c>
      <c r="X8" s="405" t="s">
        <v>524</v>
      </c>
      <c r="Y8" s="405" t="s">
        <v>59</v>
      </c>
      <c r="Z8" s="405" t="s">
        <v>524</v>
      </c>
      <c r="AA8" s="405" t="s">
        <v>59</v>
      </c>
      <c r="AB8" s="405" t="s">
        <v>524</v>
      </c>
      <c r="AC8" s="405" t="s">
        <v>59</v>
      </c>
      <c r="AD8" s="405" t="s">
        <v>524</v>
      </c>
      <c r="AE8" s="405" t="s">
        <v>59</v>
      </c>
      <c r="AF8" s="405" t="s">
        <v>524</v>
      </c>
      <c r="AG8" s="405" t="s">
        <v>59</v>
      </c>
      <c r="AH8" s="405" t="s">
        <v>752</v>
      </c>
      <c r="AI8" s="405" t="s">
        <v>59</v>
      </c>
      <c r="AJ8" s="405" t="s">
        <v>524</v>
      </c>
      <c r="AK8" s="405" t="s">
        <v>59</v>
      </c>
      <c r="AL8" s="405" t="s">
        <v>524</v>
      </c>
      <c r="AM8" s="405" t="s">
        <v>59</v>
      </c>
      <c r="AN8" s="405" t="s">
        <v>787</v>
      </c>
      <c r="AO8" s="405" t="s">
        <v>59</v>
      </c>
      <c r="AP8" s="405" t="s">
        <v>787</v>
      </c>
      <c r="AQ8" s="405" t="s">
        <v>59</v>
      </c>
      <c r="AR8" s="405" t="s">
        <v>787</v>
      </c>
    </row>
    <row r="9" spans="1:44" s="152" customFormat="1">
      <c r="A9" s="408">
        <v>1</v>
      </c>
      <c r="B9" s="409" t="s">
        <v>71</v>
      </c>
      <c r="C9" s="410">
        <f t="shared" ref="C9:AN9" si="0">C10+C13+C14+C16</f>
        <v>3441000</v>
      </c>
      <c r="D9" s="410">
        <f t="shared" si="0"/>
        <v>143500</v>
      </c>
      <c r="E9" s="410">
        <v>10958576</v>
      </c>
      <c r="F9" s="410">
        <v>549165</v>
      </c>
      <c r="G9" s="410">
        <f>E9/C9%</f>
        <v>318.47067712874167</v>
      </c>
      <c r="H9" s="410">
        <f>F9/D9%</f>
        <v>382.69337979094075</v>
      </c>
      <c r="I9" s="410">
        <f t="shared" si="0"/>
        <v>3749000</v>
      </c>
      <c r="J9" s="410">
        <f t="shared" si="0"/>
        <v>285500</v>
      </c>
      <c r="K9" s="410">
        <v>9864994</v>
      </c>
      <c r="L9" s="410">
        <v>615046</v>
      </c>
      <c r="M9" s="410">
        <f>K9/I9%</f>
        <v>263.13667644705254</v>
      </c>
      <c r="N9" s="410">
        <f>L9/J9%</f>
        <v>215.4276707530648</v>
      </c>
      <c r="O9" s="410">
        <f t="shared" si="0"/>
        <v>345000</v>
      </c>
      <c r="P9" s="410">
        <f t="shared" si="0"/>
        <v>31000</v>
      </c>
      <c r="Q9" s="410">
        <v>1575111</v>
      </c>
      <c r="R9" s="410">
        <v>90801</v>
      </c>
      <c r="S9" s="410">
        <f>Q9/O9%</f>
        <v>456.55391304347825</v>
      </c>
      <c r="T9" s="410">
        <f>R9/P9%</f>
        <v>292.90645161290325</v>
      </c>
      <c r="U9" s="410">
        <f t="shared" si="0"/>
        <v>265000</v>
      </c>
      <c r="V9" s="410">
        <f t="shared" si="0"/>
        <v>15000</v>
      </c>
      <c r="W9" s="410">
        <v>1050120</v>
      </c>
      <c r="X9" s="410">
        <v>84843</v>
      </c>
      <c r="Y9" s="410">
        <f>W9/U9%</f>
        <v>396.27169811320755</v>
      </c>
      <c r="Z9" s="410">
        <f>X9/V9%</f>
        <v>565.62</v>
      </c>
      <c r="AA9" s="410">
        <f t="shared" si="0"/>
        <v>320000</v>
      </c>
      <c r="AB9" s="410">
        <f t="shared" si="0"/>
        <v>10000</v>
      </c>
      <c r="AC9" s="410">
        <v>770333</v>
      </c>
      <c r="AD9" s="410">
        <v>61113</v>
      </c>
      <c r="AE9" s="410">
        <f>AC9/AA9%</f>
        <v>240.7290625</v>
      </c>
      <c r="AF9" s="410">
        <f>AD9/AB9%</f>
        <v>611.13</v>
      </c>
      <c r="AG9" s="410">
        <f t="shared" si="0"/>
        <v>250000</v>
      </c>
      <c r="AH9" s="410">
        <f t="shared" si="0"/>
        <v>75000</v>
      </c>
      <c r="AI9" s="410">
        <v>38440</v>
      </c>
      <c r="AJ9" s="410">
        <v>12924</v>
      </c>
      <c r="AK9" s="410">
        <f>AI9/AG9%</f>
        <v>15.375999999999999</v>
      </c>
      <c r="AL9" s="410">
        <f>AJ9/AH9%</f>
        <v>17.231999999999999</v>
      </c>
      <c r="AM9" s="421">
        <f>C9+I9+O9+U9+AA9+AG9</f>
        <v>8370000</v>
      </c>
      <c r="AN9" s="421">
        <f t="shared" si="0"/>
        <v>560000</v>
      </c>
      <c r="AO9" s="410">
        <f>E9+K9+Q9+W9+AC9+AI9</f>
        <v>24257574</v>
      </c>
      <c r="AP9" s="410">
        <f>F9+L9+R9+X9+AD9+AJ9</f>
        <v>1413892</v>
      </c>
      <c r="AQ9" s="410">
        <f>AO9/AM9%</f>
        <v>289.81569892473118</v>
      </c>
      <c r="AR9" s="410">
        <f>AP9/AN9%</f>
        <v>252.4807142857143</v>
      </c>
    </row>
    <row r="10" spans="1:44" s="153" customFormat="1" hidden="1">
      <c r="A10" s="363"/>
      <c r="B10" s="257" t="s">
        <v>111</v>
      </c>
      <c r="C10" s="256">
        <f>C11+C12</f>
        <v>3000000</v>
      </c>
      <c r="D10" s="256">
        <f>D11+D12</f>
        <v>60000</v>
      </c>
      <c r="E10" s="256"/>
      <c r="F10" s="256"/>
      <c r="G10" s="410">
        <f t="shared" ref="G10:G38" si="1">E10/C10%</f>
        <v>0</v>
      </c>
      <c r="H10" s="410">
        <f t="shared" ref="H10:H33" si="2">F10/D10%</f>
        <v>0</v>
      </c>
      <c r="I10" s="256">
        <f t="shared" ref="I10:AG10" si="3">I11+I12</f>
        <v>2700000</v>
      </c>
      <c r="J10" s="256">
        <f t="shared" si="3"/>
        <v>60000</v>
      </c>
      <c r="K10" s="256"/>
      <c r="L10" s="256"/>
      <c r="M10" s="410">
        <f t="shared" ref="M10:M38" si="4">K10/I10%</f>
        <v>0</v>
      </c>
      <c r="N10" s="410">
        <f t="shared" ref="N10:N33" si="5">L10/J10%</f>
        <v>0</v>
      </c>
      <c r="O10" s="256">
        <f>O11+O12</f>
        <v>245000</v>
      </c>
      <c r="P10" s="256">
        <f>P11+P12</f>
        <v>15000</v>
      </c>
      <c r="Q10" s="256"/>
      <c r="R10" s="256"/>
      <c r="S10" s="410">
        <f t="shared" ref="S10:S17" si="6">Q10/O10%</f>
        <v>0</v>
      </c>
      <c r="T10" s="410">
        <f t="shared" ref="T10:T17" si="7">R10/P10%</f>
        <v>0</v>
      </c>
      <c r="U10" s="256">
        <f>U11+U12</f>
        <v>245000</v>
      </c>
      <c r="V10" s="256">
        <f>V11+V12</f>
        <v>15000</v>
      </c>
      <c r="W10" s="256"/>
      <c r="X10" s="256"/>
      <c r="Y10" s="410">
        <f t="shared" ref="Y10:Y17" si="8">W10/U10%</f>
        <v>0</v>
      </c>
      <c r="Z10" s="410">
        <f t="shared" ref="Z10:Z17" si="9">X10/V10%</f>
        <v>0</v>
      </c>
      <c r="AA10" s="256">
        <f>AA11+AA12</f>
        <v>310000</v>
      </c>
      <c r="AB10" s="256">
        <f t="shared" si="3"/>
        <v>10000</v>
      </c>
      <c r="AC10" s="256"/>
      <c r="AD10" s="256"/>
      <c r="AE10" s="410">
        <f t="shared" ref="AE10:AE17" si="10">AC10/AA10%</f>
        <v>0</v>
      </c>
      <c r="AF10" s="410">
        <f t="shared" ref="AF10:AF17" si="11">AD10/AB10%</f>
        <v>0</v>
      </c>
      <c r="AG10" s="256">
        <f t="shared" si="3"/>
        <v>250000</v>
      </c>
      <c r="AH10" s="256">
        <f>AH11+AH12</f>
        <v>75000</v>
      </c>
      <c r="AI10" s="256"/>
      <c r="AJ10" s="256"/>
      <c r="AK10" s="410">
        <f t="shared" ref="AK10:AK17" si="12">AI10/AG10%</f>
        <v>0</v>
      </c>
      <c r="AL10" s="410">
        <f t="shared" ref="AL10:AL17" si="13">AJ10/AH10%</f>
        <v>0</v>
      </c>
      <c r="AM10" s="421">
        <f t="shared" ref="AM10:AM38" si="14">C10+I10+O10+U10+AA10+AG10</f>
        <v>6750000</v>
      </c>
      <c r="AN10" s="255">
        <f>AN11+AN12</f>
        <v>235000</v>
      </c>
      <c r="AO10" s="410">
        <f t="shared" ref="AO10:AO38" si="15">E10+K10+Q10+W10+AC10+AI10</f>
        <v>0</v>
      </c>
      <c r="AP10" s="410">
        <f t="shared" ref="AP10:AP38" si="16">F10+L10+R10+X10+AD10+AJ10</f>
        <v>0</v>
      </c>
      <c r="AQ10" s="410">
        <f t="shared" ref="AQ10:AQ17" si="17">AO10/AM10%</f>
        <v>0</v>
      </c>
      <c r="AR10" s="410">
        <f t="shared" ref="AR10:AR17" si="18">AP10/AN10%</f>
        <v>0</v>
      </c>
    </row>
    <row r="11" spans="1:44" s="153" customFormat="1" hidden="1">
      <c r="A11" s="363"/>
      <c r="B11" s="257" t="s">
        <v>466</v>
      </c>
      <c r="C11" s="256">
        <v>2700000</v>
      </c>
      <c r="D11" s="256"/>
      <c r="E11" s="256"/>
      <c r="F11" s="256"/>
      <c r="G11" s="410">
        <f t="shared" si="1"/>
        <v>0</v>
      </c>
      <c r="H11" s="410" t="e">
        <f t="shared" si="2"/>
        <v>#DIV/0!</v>
      </c>
      <c r="I11" s="256">
        <v>2400000</v>
      </c>
      <c r="J11" s="256"/>
      <c r="K11" s="256"/>
      <c r="L11" s="256"/>
      <c r="M11" s="410">
        <f t="shared" si="4"/>
        <v>0</v>
      </c>
      <c r="N11" s="410" t="e">
        <f t="shared" si="5"/>
        <v>#DIV/0!</v>
      </c>
      <c r="O11" s="256">
        <v>170000</v>
      </c>
      <c r="P11" s="256"/>
      <c r="Q11" s="256"/>
      <c r="R11" s="256"/>
      <c r="S11" s="410">
        <f t="shared" si="6"/>
        <v>0</v>
      </c>
      <c r="T11" s="410" t="e">
        <f t="shared" si="7"/>
        <v>#DIV/0!</v>
      </c>
      <c r="U11" s="256">
        <v>170000</v>
      </c>
      <c r="V11" s="256"/>
      <c r="W11" s="256"/>
      <c r="X11" s="256"/>
      <c r="Y11" s="410">
        <f t="shared" si="8"/>
        <v>0</v>
      </c>
      <c r="Z11" s="410" t="e">
        <f t="shared" si="9"/>
        <v>#DIV/0!</v>
      </c>
      <c r="AA11" s="256">
        <v>260000</v>
      </c>
      <c r="AB11" s="256"/>
      <c r="AC11" s="256"/>
      <c r="AD11" s="256"/>
      <c r="AE11" s="410">
        <f t="shared" si="10"/>
        <v>0</v>
      </c>
      <c r="AF11" s="410" t="e">
        <f t="shared" si="11"/>
        <v>#DIV/0!</v>
      </c>
      <c r="AG11" s="256">
        <v>200000</v>
      </c>
      <c r="AH11" s="256">
        <v>40000</v>
      </c>
      <c r="AI11" s="256"/>
      <c r="AJ11" s="256"/>
      <c r="AK11" s="410">
        <f t="shared" si="12"/>
        <v>0</v>
      </c>
      <c r="AL11" s="410">
        <f t="shared" si="13"/>
        <v>0</v>
      </c>
      <c r="AM11" s="421">
        <f t="shared" si="14"/>
        <v>5900000</v>
      </c>
      <c r="AN11" s="263">
        <f t="shared" ref="AN11:AN17" si="19">AH11+AB11+V11+P11+J11+D11</f>
        <v>40000</v>
      </c>
      <c r="AO11" s="410">
        <f t="shared" si="15"/>
        <v>0</v>
      </c>
      <c r="AP11" s="410">
        <f t="shared" si="16"/>
        <v>0</v>
      </c>
      <c r="AQ11" s="410">
        <f t="shared" si="17"/>
        <v>0</v>
      </c>
      <c r="AR11" s="410">
        <f t="shared" si="18"/>
        <v>0</v>
      </c>
    </row>
    <row r="12" spans="1:44" s="153" customFormat="1" hidden="1">
      <c r="A12" s="363"/>
      <c r="B12" s="256" t="s">
        <v>467</v>
      </c>
      <c r="C12" s="256">
        <v>300000</v>
      </c>
      <c r="D12" s="256">
        <f>C12*20%</f>
        <v>60000</v>
      </c>
      <c r="E12" s="256"/>
      <c r="F12" s="256"/>
      <c r="G12" s="410">
        <f t="shared" si="1"/>
        <v>0</v>
      </c>
      <c r="H12" s="410">
        <f t="shared" si="2"/>
        <v>0</v>
      </c>
      <c r="I12" s="256">
        <v>300000</v>
      </c>
      <c r="J12" s="256">
        <f>I12*20%</f>
        <v>60000</v>
      </c>
      <c r="K12" s="256"/>
      <c r="L12" s="256"/>
      <c r="M12" s="410">
        <f t="shared" si="4"/>
        <v>0</v>
      </c>
      <c r="N12" s="410">
        <f t="shared" si="5"/>
        <v>0</v>
      </c>
      <c r="O12" s="256">
        <v>75000</v>
      </c>
      <c r="P12" s="256">
        <f>O12*20%</f>
        <v>15000</v>
      </c>
      <c r="Q12" s="256"/>
      <c r="R12" s="256"/>
      <c r="S12" s="410">
        <f t="shared" si="6"/>
        <v>0</v>
      </c>
      <c r="T12" s="410">
        <f t="shared" si="7"/>
        <v>0</v>
      </c>
      <c r="U12" s="256">
        <v>75000</v>
      </c>
      <c r="V12" s="256">
        <f>U12*20%</f>
        <v>15000</v>
      </c>
      <c r="W12" s="256"/>
      <c r="X12" s="256"/>
      <c r="Y12" s="410">
        <f t="shared" si="8"/>
        <v>0</v>
      </c>
      <c r="Z12" s="410">
        <f t="shared" si="9"/>
        <v>0</v>
      </c>
      <c r="AA12" s="256">
        <v>50000</v>
      </c>
      <c r="AB12" s="256">
        <f>AA12*20%</f>
        <v>10000</v>
      </c>
      <c r="AC12" s="256"/>
      <c r="AD12" s="256"/>
      <c r="AE12" s="410">
        <f t="shared" si="10"/>
        <v>0</v>
      </c>
      <c r="AF12" s="410">
        <f t="shared" si="11"/>
        <v>0</v>
      </c>
      <c r="AG12" s="256">
        <v>50000</v>
      </c>
      <c r="AH12" s="256">
        <f>AG12*70%</f>
        <v>35000</v>
      </c>
      <c r="AI12" s="256"/>
      <c r="AJ12" s="256"/>
      <c r="AK12" s="410">
        <f t="shared" si="12"/>
        <v>0</v>
      </c>
      <c r="AL12" s="410">
        <f t="shared" si="13"/>
        <v>0</v>
      </c>
      <c r="AM12" s="421">
        <f t="shared" si="14"/>
        <v>850000</v>
      </c>
      <c r="AN12" s="263">
        <f t="shared" si="19"/>
        <v>195000</v>
      </c>
      <c r="AO12" s="410">
        <f t="shared" si="15"/>
        <v>0</v>
      </c>
      <c r="AP12" s="410">
        <f t="shared" si="16"/>
        <v>0</v>
      </c>
      <c r="AQ12" s="410">
        <f t="shared" si="17"/>
        <v>0</v>
      </c>
      <c r="AR12" s="410">
        <f t="shared" si="18"/>
        <v>0</v>
      </c>
    </row>
    <row r="13" spans="1:44" s="153" customFormat="1" hidden="1">
      <c r="A13" s="363"/>
      <c r="B13" s="257" t="s">
        <v>113</v>
      </c>
      <c r="C13" s="256">
        <v>31000</v>
      </c>
      <c r="D13" s="256">
        <f>C13*50%</f>
        <v>15500</v>
      </c>
      <c r="E13" s="256"/>
      <c r="F13" s="256"/>
      <c r="G13" s="410">
        <f t="shared" si="1"/>
        <v>0</v>
      </c>
      <c r="H13" s="410">
        <f t="shared" si="2"/>
        <v>0</v>
      </c>
      <c r="I13" s="256">
        <v>99000</v>
      </c>
      <c r="J13" s="256">
        <f>I13*50%</f>
        <v>49500</v>
      </c>
      <c r="K13" s="256"/>
      <c r="L13" s="256"/>
      <c r="M13" s="410">
        <f t="shared" si="4"/>
        <v>0</v>
      </c>
      <c r="N13" s="410">
        <f t="shared" si="5"/>
        <v>0</v>
      </c>
      <c r="O13" s="256"/>
      <c r="P13" s="256"/>
      <c r="Q13" s="256"/>
      <c r="R13" s="256"/>
      <c r="S13" s="410" t="e">
        <f t="shared" si="6"/>
        <v>#DIV/0!</v>
      </c>
      <c r="T13" s="410" t="e">
        <f t="shared" si="7"/>
        <v>#DIV/0!</v>
      </c>
      <c r="U13" s="256"/>
      <c r="V13" s="256"/>
      <c r="W13" s="256"/>
      <c r="X13" s="256"/>
      <c r="Y13" s="410" t="e">
        <f t="shared" si="8"/>
        <v>#DIV/0!</v>
      </c>
      <c r="Z13" s="410" t="e">
        <f t="shared" si="9"/>
        <v>#DIV/0!</v>
      </c>
      <c r="AA13" s="256"/>
      <c r="AB13" s="256"/>
      <c r="AC13" s="256"/>
      <c r="AD13" s="256"/>
      <c r="AE13" s="410" t="e">
        <f t="shared" si="10"/>
        <v>#DIV/0!</v>
      </c>
      <c r="AF13" s="410" t="e">
        <f t="shared" si="11"/>
        <v>#DIV/0!</v>
      </c>
      <c r="AG13" s="256"/>
      <c r="AH13" s="256"/>
      <c r="AI13" s="256"/>
      <c r="AJ13" s="256"/>
      <c r="AK13" s="410" t="e">
        <f t="shared" si="12"/>
        <v>#DIV/0!</v>
      </c>
      <c r="AL13" s="410" t="e">
        <f t="shared" si="13"/>
        <v>#DIV/0!</v>
      </c>
      <c r="AM13" s="421">
        <f t="shared" si="14"/>
        <v>130000</v>
      </c>
      <c r="AN13" s="263">
        <f t="shared" si="19"/>
        <v>65000</v>
      </c>
      <c r="AO13" s="410">
        <f t="shared" si="15"/>
        <v>0</v>
      </c>
      <c r="AP13" s="410">
        <f t="shared" si="16"/>
        <v>0</v>
      </c>
      <c r="AQ13" s="410">
        <f t="shared" si="17"/>
        <v>0</v>
      </c>
      <c r="AR13" s="410">
        <f t="shared" si="18"/>
        <v>0</v>
      </c>
    </row>
    <row r="14" spans="1:44" s="153" customFormat="1" hidden="1">
      <c r="A14" s="363"/>
      <c r="B14" s="257" t="s">
        <v>112</v>
      </c>
      <c r="C14" s="256">
        <f>C15</f>
        <v>340000</v>
      </c>
      <c r="D14" s="256">
        <f t="shared" ref="D14:AN14" si="20">D15</f>
        <v>68000</v>
      </c>
      <c r="E14" s="256"/>
      <c r="F14" s="256"/>
      <c r="G14" s="410">
        <f t="shared" si="1"/>
        <v>0</v>
      </c>
      <c r="H14" s="410">
        <f t="shared" si="2"/>
        <v>0</v>
      </c>
      <c r="I14" s="256">
        <f t="shared" si="20"/>
        <v>880000</v>
      </c>
      <c r="J14" s="256">
        <f t="shared" si="20"/>
        <v>176000</v>
      </c>
      <c r="K14" s="256"/>
      <c r="L14" s="256"/>
      <c r="M14" s="410">
        <f t="shared" si="4"/>
        <v>0</v>
      </c>
      <c r="N14" s="410">
        <f t="shared" si="5"/>
        <v>0</v>
      </c>
      <c r="O14" s="256">
        <f t="shared" si="20"/>
        <v>80000</v>
      </c>
      <c r="P14" s="256">
        <f t="shared" si="20"/>
        <v>16000</v>
      </c>
      <c r="Q14" s="256"/>
      <c r="R14" s="256"/>
      <c r="S14" s="410">
        <f t="shared" si="6"/>
        <v>0</v>
      </c>
      <c r="T14" s="410">
        <f t="shared" si="7"/>
        <v>0</v>
      </c>
      <c r="U14" s="256">
        <f t="shared" si="20"/>
        <v>0</v>
      </c>
      <c r="V14" s="256">
        <f t="shared" si="20"/>
        <v>0</v>
      </c>
      <c r="W14" s="256"/>
      <c r="X14" s="256"/>
      <c r="Y14" s="410" t="e">
        <f t="shared" si="8"/>
        <v>#DIV/0!</v>
      </c>
      <c r="Z14" s="410" t="e">
        <f t="shared" si="9"/>
        <v>#DIV/0!</v>
      </c>
      <c r="AA14" s="256">
        <f t="shared" si="20"/>
        <v>0</v>
      </c>
      <c r="AB14" s="256">
        <f t="shared" si="20"/>
        <v>0</v>
      </c>
      <c r="AC14" s="256"/>
      <c r="AD14" s="256"/>
      <c r="AE14" s="410" t="e">
        <f t="shared" si="10"/>
        <v>#DIV/0!</v>
      </c>
      <c r="AF14" s="410" t="e">
        <f t="shared" si="11"/>
        <v>#DIV/0!</v>
      </c>
      <c r="AG14" s="256">
        <f t="shared" si="20"/>
        <v>0</v>
      </c>
      <c r="AH14" s="256">
        <f t="shared" si="20"/>
        <v>0</v>
      </c>
      <c r="AI14" s="256"/>
      <c r="AJ14" s="256"/>
      <c r="AK14" s="410" t="e">
        <f t="shared" si="12"/>
        <v>#DIV/0!</v>
      </c>
      <c r="AL14" s="410" t="e">
        <f t="shared" si="13"/>
        <v>#DIV/0!</v>
      </c>
      <c r="AM14" s="421">
        <f t="shared" si="14"/>
        <v>1300000</v>
      </c>
      <c r="AN14" s="256">
        <f t="shared" si="20"/>
        <v>260000</v>
      </c>
      <c r="AO14" s="410">
        <f t="shared" si="15"/>
        <v>0</v>
      </c>
      <c r="AP14" s="410">
        <f t="shared" si="16"/>
        <v>0</v>
      </c>
      <c r="AQ14" s="410">
        <f t="shared" si="17"/>
        <v>0</v>
      </c>
      <c r="AR14" s="410">
        <f t="shared" si="18"/>
        <v>0</v>
      </c>
    </row>
    <row r="15" spans="1:44" s="153" customFormat="1" hidden="1">
      <c r="A15" s="363"/>
      <c r="B15" s="257" t="s">
        <v>271</v>
      </c>
      <c r="C15" s="256">
        <v>340000</v>
      </c>
      <c r="D15" s="256">
        <f>C15*20%</f>
        <v>68000</v>
      </c>
      <c r="E15" s="256"/>
      <c r="F15" s="256"/>
      <c r="G15" s="410">
        <f t="shared" si="1"/>
        <v>0</v>
      </c>
      <c r="H15" s="410">
        <f t="shared" si="2"/>
        <v>0</v>
      </c>
      <c r="I15" s="256">
        <v>880000</v>
      </c>
      <c r="J15" s="256">
        <f>I15*20%</f>
        <v>176000</v>
      </c>
      <c r="K15" s="256"/>
      <c r="L15" s="256"/>
      <c r="M15" s="410">
        <f t="shared" si="4"/>
        <v>0</v>
      </c>
      <c r="N15" s="410">
        <f t="shared" si="5"/>
        <v>0</v>
      </c>
      <c r="O15" s="256">
        <v>80000</v>
      </c>
      <c r="P15" s="256">
        <f>O15*20%</f>
        <v>16000</v>
      </c>
      <c r="Q15" s="256"/>
      <c r="R15" s="256"/>
      <c r="S15" s="410">
        <f t="shared" si="6"/>
        <v>0</v>
      </c>
      <c r="T15" s="410">
        <f t="shared" si="7"/>
        <v>0</v>
      </c>
      <c r="U15" s="256"/>
      <c r="V15" s="256"/>
      <c r="W15" s="256"/>
      <c r="X15" s="256"/>
      <c r="Y15" s="410" t="e">
        <f t="shared" si="8"/>
        <v>#DIV/0!</v>
      </c>
      <c r="Z15" s="410" t="e">
        <f t="shared" si="9"/>
        <v>#DIV/0!</v>
      </c>
      <c r="AA15" s="256"/>
      <c r="AB15" s="256">
        <f>AA15*20%</f>
        <v>0</v>
      </c>
      <c r="AC15" s="256"/>
      <c r="AD15" s="256"/>
      <c r="AE15" s="410" t="e">
        <f t="shared" si="10"/>
        <v>#DIV/0!</v>
      </c>
      <c r="AF15" s="410" t="e">
        <f t="shared" si="11"/>
        <v>#DIV/0!</v>
      </c>
      <c r="AG15" s="256"/>
      <c r="AH15" s="256"/>
      <c r="AI15" s="256"/>
      <c r="AJ15" s="256"/>
      <c r="AK15" s="410" t="e">
        <f t="shared" si="12"/>
        <v>#DIV/0!</v>
      </c>
      <c r="AL15" s="410" t="e">
        <f t="shared" si="13"/>
        <v>#DIV/0!</v>
      </c>
      <c r="AM15" s="421">
        <f t="shared" si="14"/>
        <v>1300000</v>
      </c>
      <c r="AN15" s="255">
        <f t="shared" si="19"/>
        <v>260000</v>
      </c>
      <c r="AO15" s="410">
        <f t="shared" si="15"/>
        <v>0</v>
      </c>
      <c r="AP15" s="410">
        <f t="shared" si="16"/>
        <v>0</v>
      </c>
      <c r="AQ15" s="410">
        <f t="shared" si="17"/>
        <v>0</v>
      </c>
      <c r="AR15" s="410">
        <f t="shared" si="18"/>
        <v>0</v>
      </c>
    </row>
    <row r="16" spans="1:44" s="153" customFormat="1" hidden="1">
      <c r="A16" s="426"/>
      <c r="B16" s="427" t="s">
        <v>744</v>
      </c>
      <c r="C16" s="414">
        <v>70000</v>
      </c>
      <c r="D16" s="414"/>
      <c r="E16" s="414"/>
      <c r="F16" s="414"/>
      <c r="G16" s="415">
        <f t="shared" si="1"/>
        <v>0</v>
      </c>
      <c r="H16" s="415" t="e">
        <f t="shared" si="2"/>
        <v>#DIV/0!</v>
      </c>
      <c r="I16" s="414">
        <v>70000</v>
      </c>
      <c r="J16" s="414"/>
      <c r="K16" s="414"/>
      <c r="L16" s="414"/>
      <c r="M16" s="415">
        <f t="shared" si="4"/>
        <v>0</v>
      </c>
      <c r="N16" s="415" t="e">
        <f t="shared" si="5"/>
        <v>#DIV/0!</v>
      </c>
      <c r="O16" s="414">
        <v>20000</v>
      </c>
      <c r="P16" s="414"/>
      <c r="Q16" s="414"/>
      <c r="R16" s="414"/>
      <c r="S16" s="415">
        <f t="shared" si="6"/>
        <v>0</v>
      </c>
      <c r="T16" s="415" t="e">
        <f t="shared" si="7"/>
        <v>#DIV/0!</v>
      </c>
      <c r="U16" s="414">
        <v>20000</v>
      </c>
      <c r="V16" s="414"/>
      <c r="W16" s="414"/>
      <c r="X16" s="414"/>
      <c r="Y16" s="415">
        <f t="shared" si="8"/>
        <v>0</v>
      </c>
      <c r="Z16" s="415" t="e">
        <f t="shared" si="9"/>
        <v>#DIV/0!</v>
      </c>
      <c r="AA16" s="414">
        <v>10000</v>
      </c>
      <c r="AB16" s="414"/>
      <c r="AC16" s="414"/>
      <c r="AD16" s="414"/>
      <c r="AE16" s="415">
        <f t="shared" si="10"/>
        <v>0</v>
      </c>
      <c r="AF16" s="415" t="e">
        <f t="shared" si="11"/>
        <v>#DIV/0!</v>
      </c>
      <c r="AG16" s="414"/>
      <c r="AH16" s="414"/>
      <c r="AI16" s="414"/>
      <c r="AJ16" s="414"/>
      <c r="AK16" s="415" t="e">
        <f t="shared" si="12"/>
        <v>#DIV/0!</v>
      </c>
      <c r="AL16" s="415" t="e">
        <f t="shared" si="13"/>
        <v>#DIV/0!</v>
      </c>
      <c r="AM16" s="423">
        <f t="shared" si="14"/>
        <v>190000</v>
      </c>
      <c r="AN16" s="422">
        <f t="shared" si="19"/>
        <v>0</v>
      </c>
      <c r="AO16" s="415">
        <f t="shared" si="15"/>
        <v>0</v>
      </c>
      <c r="AP16" s="415">
        <f t="shared" si="16"/>
        <v>0</v>
      </c>
      <c r="AQ16" s="415">
        <f t="shared" si="17"/>
        <v>0</v>
      </c>
      <c r="AR16" s="415" t="e">
        <f t="shared" si="18"/>
        <v>#DIV/0!</v>
      </c>
    </row>
    <row r="17" spans="1:44" s="60" customFormat="1" ht="15.75" customHeight="1">
      <c r="A17" s="364">
        <v>2</v>
      </c>
      <c r="B17" s="259" t="s">
        <v>439</v>
      </c>
      <c r="C17" s="259">
        <v>205000</v>
      </c>
      <c r="D17" s="259">
        <f>C17</f>
        <v>205000</v>
      </c>
      <c r="E17" s="259">
        <v>217507</v>
      </c>
      <c r="F17" s="259">
        <f>E17</f>
        <v>217507</v>
      </c>
      <c r="G17" s="417">
        <f t="shared" si="1"/>
        <v>106.10097560975609</v>
      </c>
      <c r="H17" s="417">
        <f t="shared" si="2"/>
        <v>106.10097560975609</v>
      </c>
      <c r="I17" s="259">
        <v>270000</v>
      </c>
      <c r="J17" s="259">
        <f>I17</f>
        <v>270000</v>
      </c>
      <c r="K17" s="259">
        <v>282991</v>
      </c>
      <c r="L17" s="259">
        <v>282991</v>
      </c>
      <c r="M17" s="417">
        <f t="shared" si="4"/>
        <v>104.81148148148148</v>
      </c>
      <c r="N17" s="417">
        <f t="shared" si="5"/>
        <v>104.81148148148148</v>
      </c>
      <c r="O17" s="259">
        <v>136000</v>
      </c>
      <c r="P17" s="259">
        <v>136000</v>
      </c>
      <c r="Q17" s="259">
        <v>143038</v>
      </c>
      <c r="R17" s="259">
        <v>143038</v>
      </c>
      <c r="S17" s="417">
        <f t="shared" si="6"/>
        <v>105.175</v>
      </c>
      <c r="T17" s="417">
        <f t="shared" si="7"/>
        <v>105.175</v>
      </c>
      <c r="U17" s="259">
        <v>105000</v>
      </c>
      <c r="V17" s="259">
        <f>U17</f>
        <v>105000</v>
      </c>
      <c r="W17" s="259">
        <v>114199</v>
      </c>
      <c r="X17" s="259">
        <v>114199</v>
      </c>
      <c r="Y17" s="417">
        <f t="shared" si="8"/>
        <v>108.76095238095238</v>
      </c>
      <c r="Z17" s="417">
        <f t="shared" si="9"/>
        <v>108.76095238095238</v>
      </c>
      <c r="AA17" s="259">
        <v>140000</v>
      </c>
      <c r="AB17" s="259">
        <f>AA17</f>
        <v>140000</v>
      </c>
      <c r="AC17" s="259">
        <v>174676</v>
      </c>
      <c r="AD17" s="259">
        <v>174676</v>
      </c>
      <c r="AE17" s="417">
        <f t="shared" si="10"/>
        <v>124.76857142857143</v>
      </c>
      <c r="AF17" s="417">
        <f t="shared" si="11"/>
        <v>124.76857142857143</v>
      </c>
      <c r="AG17" s="259">
        <v>14000</v>
      </c>
      <c r="AH17" s="259">
        <f>AG17</f>
        <v>14000</v>
      </c>
      <c r="AI17" s="259">
        <v>13000</v>
      </c>
      <c r="AJ17" s="259">
        <v>13000</v>
      </c>
      <c r="AK17" s="417">
        <f t="shared" si="12"/>
        <v>92.857142857142861</v>
      </c>
      <c r="AL17" s="417">
        <f t="shared" si="13"/>
        <v>92.857142857142861</v>
      </c>
      <c r="AM17" s="263">
        <f t="shared" si="14"/>
        <v>870000</v>
      </c>
      <c r="AN17" s="263">
        <f t="shared" si="19"/>
        <v>870000</v>
      </c>
      <c r="AO17" s="417">
        <f t="shared" si="15"/>
        <v>945411</v>
      </c>
      <c r="AP17" s="417">
        <f t="shared" si="16"/>
        <v>945411</v>
      </c>
      <c r="AQ17" s="417">
        <f t="shared" si="17"/>
        <v>108.66793103448276</v>
      </c>
      <c r="AR17" s="417">
        <f t="shared" si="18"/>
        <v>108.66793103448276</v>
      </c>
    </row>
    <row r="18" spans="1:44" s="60" customFormat="1" ht="14.25">
      <c r="A18" s="364"/>
      <c r="B18" s="259"/>
      <c r="C18" s="256"/>
      <c r="D18" s="256"/>
      <c r="E18" s="256"/>
      <c r="F18" s="256"/>
      <c r="G18" s="417"/>
      <c r="H18" s="417"/>
      <c r="I18" s="256"/>
      <c r="J18" s="256"/>
      <c r="K18" s="256"/>
      <c r="L18" s="256"/>
      <c r="M18" s="417"/>
      <c r="N18" s="417"/>
      <c r="O18" s="256"/>
      <c r="P18" s="256"/>
      <c r="Q18" s="256"/>
      <c r="R18" s="256"/>
      <c r="S18" s="417"/>
      <c r="T18" s="417"/>
      <c r="U18" s="256"/>
      <c r="V18" s="256"/>
      <c r="W18" s="256"/>
      <c r="X18" s="256"/>
      <c r="Y18" s="417"/>
      <c r="Z18" s="417"/>
      <c r="AA18" s="256"/>
      <c r="AB18" s="256"/>
      <c r="AC18" s="256"/>
      <c r="AD18" s="256"/>
      <c r="AE18" s="417"/>
      <c r="AF18" s="417"/>
      <c r="AG18" s="256"/>
      <c r="AH18" s="256"/>
      <c r="AI18" s="256"/>
      <c r="AJ18" s="256"/>
      <c r="AK18" s="417"/>
      <c r="AL18" s="417"/>
      <c r="AM18" s="263">
        <f t="shared" si="14"/>
        <v>0</v>
      </c>
      <c r="AN18" s="263"/>
      <c r="AO18" s="417">
        <f t="shared" si="15"/>
        <v>0</v>
      </c>
      <c r="AP18" s="417">
        <f t="shared" si="16"/>
        <v>0</v>
      </c>
      <c r="AQ18" s="417"/>
      <c r="AR18" s="417"/>
    </row>
    <row r="19" spans="1:44" s="60" customFormat="1" ht="14.25">
      <c r="A19" s="364">
        <v>3</v>
      </c>
      <c r="B19" s="261" t="s">
        <v>105</v>
      </c>
      <c r="C19" s="259">
        <v>7000000</v>
      </c>
      <c r="D19" s="259"/>
      <c r="E19" s="259">
        <v>5292622</v>
      </c>
      <c r="F19" s="259"/>
      <c r="G19" s="417">
        <f t="shared" si="1"/>
        <v>75.608885714285719</v>
      </c>
      <c r="H19" s="417"/>
      <c r="I19" s="259">
        <v>8000000</v>
      </c>
      <c r="J19" s="259"/>
      <c r="K19" s="259"/>
      <c r="L19" s="259"/>
      <c r="M19" s="417"/>
      <c r="N19" s="417"/>
      <c r="O19" s="259">
        <v>4000000</v>
      </c>
      <c r="P19" s="259"/>
      <c r="Q19" s="259">
        <v>8026552</v>
      </c>
      <c r="R19" s="259"/>
      <c r="S19" s="417"/>
      <c r="T19" s="417"/>
      <c r="U19" s="259">
        <v>5000000</v>
      </c>
      <c r="V19" s="259"/>
      <c r="W19" s="259">
        <v>709945</v>
      </c>
      <c r="X19" s="259"/>
      <c r="Y19" s="417"/>
      <c r="Z19" s="417"/>
      <c r="AA19" s="259">
        <v>4000000</v>
      </c>
      <c r="AB19" s="259"/>
      <c r="AC19" s="259">
        <v>3718859</v>
      </c>
      <c r="AD19" s="259"/>
      <c r="AE19" s="417"/>
      <c r="AF19" s="417"/>
      <c r="AG19" s="259">
        <v>2000000</v>
      </c>
      <c r="AH19" s="259">
        <f>AG19*80%</f>
        <v>1600000</v>
      </c>
      <c r="AI19" s="259">
        <v>2990482</v>
      </c>
      <c r="AJ19" s="259">
        <v>2392386</v>
      </c>
      <c r="AK19" s="417"/>
      <c r="AL19" s="417"/>
      <c r="AM19" s="263">
        <f t="shared" si="14"/>
        <v>30000000</v>
      </c>
      <c r="AN19" s="263">
        <f>AH19+AB19+V19+P19+J19+D19</f>
        <v>1600000</v>
      </c>
      <c r="AO19" s="417">
        <f t="shared" si="15"/>
        <v>20738460</v>
      </c>
      <c r="AP19" s="417">
        <f t="shared" si="16"/>
        <v>2392386</v>
      </c>
      <c r="AQ19" s="417"/>
      <c r="AR19" s="417"/>
    </row>
    <row r="20" spans="1:44" s="60" customFormat="1" ht="14.25">
      <c r="A20" s="364">
        <v>4</v>
      </c>
      <c r="B20" s="261" t="s">
        <v>779</v>
      </c>
      <c r="C20" s="259">
        <v>1778000</v>
      </c>
      <c r="D20" s="259"/>
      <c r="E20" s="259">
        <v>1255953</v>
      </c>
      <c r="F20" s="259"/>
      <c r="G20" s="417">
        <f t="shared" si="1"/>
        <v>70.638526434195725</v>
      </c>
      <c r="H20" s="417"/>
      <c r="I20" s="259">
        <v>1650000</v>
      </c>
      <c r="J20" s="259"/>
      <c r="K20" s="259">
        <v>1464714</v>
      </c>
      <c r="L20" s="259"/>
      <c r="M20" s="417">
        <f t="shared" si="4"/>
        <v>88.770545454545456</v>
      </c>
      <c r="N20" s="417"/>
      <c r="O20" s="259">
        <v>630000</v>
      </c>
      <c r="P20" s="259"/>
      <c r="Q20" s="259">
        <v>333051</v>
      </c>
      <c r="R20" s="259"/>
      <c r="S20" s="417">
        <f t="shared" ref="S20:S33" si="21">Q20/O20%</f>
        <v>52.865238095238098</v>
      </c>
      <c r="T20" s="417"/>
      <c r="U20" s="259">
        <v>190000</v>
      </c>
      <c r="V20" s="259"/>
      <c r="W20" s="259">
        <v>175052</v>
      </c>
      <c r="X20" s="259"/>
      <c r="Y20" s="417">
        <f t="shared" ref="Y20:Y33" si="22">W20/U20%</f>
        <v>92.132631578947368</v>
      </c>
      <c r="Z20" s="417"/>
      <c r="AA20" s="259">
        <v>390000</v>
      </c>
      <c r="AB20" s="259"/>
      <c r="AC20" s="259">
        <v>209115</v>
      </c>
      <c r="AD20" s="259"/>
      <c r="AE20" s="417">
        <f t="shared" ref="AE20:AE33" si="23">AC20/AA20%</f>
        <v>53.619230769230768</v>
      </c>
      <c r="AF20" s="417"/>
      <c r="AG20" s="259">
        <v>100000</v>
      </c>
      <c r="AH20" s="259"/>
      <c r="AI20" s="259"/>
      <c r="AJ20" s="259"/>
      <c r="AK20" s="417">
        <f t="shared" ref="AK20:AK33" si="24">AI20/AG20%</f>
        <v>0</v>
      </c>
      <c r="AL20" s="417"/>
      <c r="AM20" s="263">
        <f t="shared" si="14"/>
        <v>4738000</v>
      </c>
      <c r="AN20" s="263">
        <f>AH20+AB20+V20+P20+J20+D20</f>
        <v>0</v>
      </c>
      <c r="AO20" s="417">
        <f>E20+K20+Q20+W20+AC20+AI20</f>
        <v>3437885</v>
      </c>
      <c r="AP20" s="417">
        <f t="shared" si="16"/>
        <v>0</v>
      </c>
      <c r="AQ20" s="417">
        <f t="shared" ref="AQ20" si="25">AO20/AM20%</f>
        <v>72.559835373575353</v>
      </c>
      <c r="AR20" s="417"/>
    </row>
    <row r="21" spans="1:44" s="60" customFormat="1" ht="14.25">
      <c r="A21" s="364">
        <v>5</v>
      </c>
      <c r="B21" s="261" t="s">
        <v>349</v>
      </c>
      <c r="C21" s="259">
        <v>600000</v>
      </c>
      <c r="D21" s="259"/>
      <c r="E21" s="259">
        <v>461000</v>
      </c>
      <c r="F21" s="259"/>
      <c r="G21" s="417">
        <f t="shared" si="1"/>
        <v>76.833333333333329</v>
      </c>
      <c r="H21" s="417"/>
      <c r="I21" s="259">
        <v>400000</v>
      </c>
      <c r="J21" s="259"/>
      <c r="K21" s="259">
        <v>229015</v>
      </c>
      <c r="L21" s="259"/>
      <c r="M21" s="417">
        <f t="shared" si="4"/>
        <v>57.253749999999997</v>
      </c>
      <c r="N21" s="417"/>
      <c r="O21" s="259">
        <v>350000</v>
      </c>
      <c r="P21" s="259"/>
      <c r="Q21" s="259">
        <v>186380</v>
      </c>
      <c r="R21" s="259"/>
      <c r="S21" s="417">
        <f t="shared" si="21"/>
        <v>53.251428571428569</v>
      </c>
      <c r="T21" s="417"/>
      <c r="U21" s="259">
        <v>130000</v>
      </c>
      <c r="V21" s="259"/>
      <c r="W21" s="259">
        <v>281387</v>
      </c>
      <c r="X21" s="259"/>
      <c r="Y21" s="417">
        <f t="shared" si="22"/>
        <v>216.45153846153846</v>
      </c>
      <c r="Z21" s="417"/>
      <c r="AA21" s="259">
        <v>50000</v>
      </c>
      <c r="AB21" s="259"/>
      <c r="AC21" s="259">
        <v>83473</v>
      </c>
      <c r="AD21" s="259"/>
      <c r="AE21" s="417">
        <f t="shared" si="23"/>
        <v>166.946</v>
      </c>
      <c r="AF21" s="417"/>
      <c r="AG21" s="259"/>
      <c r="AH21" s="259"/>
      <c r="AI21" s="259"/>
      <c r="AJ21" s="259"/>
      <c r="AK21" s="417"/>
      <c r="AL21" s="417"/>
      <c r="AM21" s="263">
        <f t="shared" si="14"/>
        <v>1530000</v>
      </c>
      <c r="AN21" s="263">
        <f>AH21+AB21+V21+P21+J21+D21</f>
        <v>0</v>
      </c>
      <c r="AO21" s="417">
        <f t="shared" si="15"/>
        <v>1241255</v>
      </c>
      <c r="AP21" s="417">
        <f t="shared" si="16"/>
        <v>0</v>
      </c>
      <c r="AQ21" s="417"/>
      <c r="AR21" s="417"/>
    </row>
    <row r="22" spans="1:44" s="60" customFormat="1" ht="14.25">
      <c r="A22" s="364">
        <v>6</v>
      </c>
      <c r="B22" s="261" t="s">
        <v>350</v>
      </c>
      <c r="C22" s="261">
        <f t="shared" ref="C22:AN22" si="26">C23+C24</f>
        <v>300000</v>
      </c>
      <c r="D22" s="261">
        <f t="shared" si="26"/>
        <v>300000</v>
      </c>
      <c r="E22" s="261">
        <v>589676</v>
      </c>
      <c r="F22" s="261">
        <v>200864</v>
      </c>
      <c r="G22" s="417">
        <f t="shared" si="1"/>
        <v>196.55866666666665</v>
      </c>
      <c r="H22" s="417">
        <f t="shared" si="2"/>
        <v>66.954666666666668</v>
      </c>
      <c r="I22" s="261">
        <f t="shared" si="26"/>
        <v>190000</v>
      </c>
      <c r="J22" s="261">
        <f t="shared" si="26"/>
        <v>190000</v>
      </c>
      <c r="K22" s="261">
        <v>649823</v>
      </c>
      <c r="L22" s="261">
        <v>284027</v>
      </c>
      <c r="M22" s="417">
        <f t="shared" si="4"/>
        <v>342.01210526315788</v>
      </c>
      <c r="N22" s="417">
        <f t="shared" si="5"/>
        <v>149.48789473684209</v>
      </c>
      <c r="O22" s="261">
        <f t="shared" si="26"/>
        <v>80000</v>
      </c>
      <c r="P22" s="261">
        <f t="shared" si="26"/>
        <v>80000</v>
      </c>
      <c r="Q22" s="261">
        <v>225485</v>
      </c>
      <c r="R22" s="261">
        <v>151464</v>
      </c>
      <c r="S22" s="417">
        <f t="shared" si="21"/>
        <v>281.85624999999999</v>
      </c>
      <c r="T22" s="417">
        <f t="shared" ref="T22:T33" si="27">R22/P22%</f>
        <v>189.33</v>
      </c>
      <c r="U22" s="261">
        <f t="shared" si="26"/>
        <v>40000</v>
      </c>
      <c r="V22" s="261">
        <f t="shared" si="26"/>
        <v>40000</v>
      </c>
      <c r="W22" s="261">
        <v>181583</v>
      </c>
      <c r="X22" s="261">
        <v>30564</v>
      </c>
      <c r="Y22" s="417">
        <f t="shared" si="22"/>
        <v>453.95749999999998</v>
      </c>
      <c r="Z22" s="417">
        <f t="shared" ref="Z22:Z33" si="28">X22/V22%</f>
        <v>76.41</v>
      </c>
      <c r="AA22" s="261">
        <f t="shared" si="26"/>
        <v>80000</v>
      </c>
      <c r="AB22" s="261">
        <f t="shared" si="26"/>
        <v>80000</v>
      </c>
      <c r="AC22" s="261">
        <v>264529</v>
      </c>
      <c r="AD22" s="261">
        <v>55883</v>
      </c>
      <c r="AE22" s="417">
        <f t="shared" si="23"/>
        <v>330.66125</v>
      </c>
      <c r="AF22" s="417">
        <f t="shared" ref="AF22:AF33" si="29">AD22/AB22%</f>
        <v>69.853750000000005</v>
      </c>
      <c r="AG22" s="261">
        <f t="shared" si="26"/>
        <v>10000</v>
      </c>
      <c r="AH22" s="261">
        <f t="shared" si="26"/>
        <v>10000</v>
      </c>
      <c r="AI22" s="261">
        <v>31194</v>
      </c>
      <c r="AJ22" s="261">
        <v>26942</v>
      </c>
      <c r="AK22" s="417">
        <f t="shared" si="24"/>
        <v>311.94</v>
      </c>
      <c r="AL22" s="417">
        <f t="shared" ref="AL22:AL33" si="30">AJ22/AH22%</f>
        <v>269.42</v>
      </c>
      <c r="AM22" s="263">
        <f t="shared" si="14"/>
        <v>700000</v>
      </c>
      <c r="AN22" s="261">
        <f t="shared" si="26"/>
        <v>700000</v>
      </c>
      <c r="AO22" s="417">
        <f t="shared" si="15"/>
        <v>1942290</v>
      </c>
      <c r="AP22" s="417">
        <f t="shared" si="16"/>
        <v>749744</v>
      </c>
      <c r="AQ22" s="417">
        <f t="shared" ref="AQ22:AQ33" si="31">AO22/AM22%</f>
        <v>277.47000000000003</v>
      </c>
      <c r="AR22" s="417">
        <f t="shared" ref="AR22:AR33" si="32">AP22/AN22%</f>
        <v>107.10628571428572</v>
      </c>
    </row>
    <row r="23" spans="1:44" s="153" customFormat="1" hidden="1">
      <c r="A23" s="363"/>
      <c r="B23" s="261" t="s">
        <v>87</v>
      </c>
      <c r="C23" s="259">
        <v>300000</v>
      </c>
      <c r="D23" s="259">
        <f>C23</f>
        <v>300000</v>
      </c>
      <c r="E23" s="259"/>
      <c r="F23" s="259"/>
      <c r="G23" s="417">
        <f t="shared" si="1"/>
        <v>0</v>
      </c>
      <c r="H23" s="417">
        <f t="shared" si="2"/>
        <v>0</v>
      </c>
      <c r="I23" s="259">
        <v>190000</v>
      </c>
      <c r="J23" s="259">
        <f>I23</f>
        <v>190000</v>
      </c>
      <c r="K23" s="259"/>
      <c r="L23" s="259"/>
      <c r="M23" s="417">
        <f t="shared" si="4"/>
        <v>0</v>
      </c>
      <c r="N23" s="417">
        <f t="shared" si="5"/>
        <v>0</v>
      </c>
      <c r="O23" s="259">
        <v>80000</v>
      </c>
      <c r="P23" s="259">
        <f>O23</f>
        <v>80000</v>
      </c>
      <c r="Q23" s="259"/>
      <c r="R23" s="259"/>
      <c r="S23" s="417">
        <f t="shared" si="21"/>
        <v>0</v>
      </c>
      <c r="T23" s="417">
        <f t="shared" si="27"/>
        <v>0</v>
      </c>
      <c r="U23" s="259">
        <v>40000</v>
      </c>
      <c r="V23" s="259">
        <f>U23</f>
        <v>40000</v>
      </c>
      <c r="W23" s="259"/>
      <c r="X23" s="259"/>
      <c r="Y23" s="417">
        <f t="shared" si="22"/>
        <v>0</v>
      </c>
      <c r="Z23" s="417">
        <f t="shared" si="28"/>
        <v>0</v>
      </c>
      <c r="AA23" s="259">
        <v>80000</v>
      </c>
      <c r="AB23" s="259">
        <f>AA23</f>
        <v>80000</v>
      </c>
      <c r="AC23" s="259"/>
      <c r="AD23" s="259"/>
      <c r="AE23" s="417">
        <f t="shared" si="23"/>
        <v>0</v>
      </c>
      <c r="AF23" s="417">
        <f t="shared" si="29"/>
        <v>0</v>
      </c>
      <c r="AG23" s="259">
        <v>10000</v>
      </c>
      <c r="AH23" s="259">
        <f>AG23</f>
        <v>10000</v>
      </c>
      <c r="AI23" s="259"/>
      <c r="AJ23" s="259"/>
      <c r="AK23" s="417">
        <f t="shared" si="24"/>
        <v>0</v>
      </c>
      <c r="AL23" s="417">
        <f t="shared" si="30"/>
        <v>0</v>
      </c>
      <c r="AM23" s="263">
        <f t="shared" si="14"/>
        <v>700000</v>
      </c>
      <c r="AN23" s="263">
        <f>AH23+AB23+V23+P23+J23+D23</f>
        <v>700000</v>
      </c>
      <c r="AO23" s="417">
        <f t="shared" si="15"/>
        <v>0</v>
      </c>
      <c r="AP23" s="417">
        <f t="shared" si="16"/>
        <v>0</v>
      </c>
      <c r="AQ23" s="417">
        <f t="shared" si="31"/>
        <v>0</v>
      </c>
      <c r="AR23" s="417">
        <f t="shared" si="32"/>
        <v>0</v>
      </c>
    </row>
    <row r="24" spans="1:44" s="153" customFormat="1" hidden="1">
      <c r="A24" s="363"/>
      <c r="B24" s="261" t="s">
        <v>114</v>
      </c>
      <c r="C24" s="259"/>
      <c r="D24" s="259"/>
      <c r="E24" s="259"/>
      <c r="F24" s="259"/>
      <c r="G24" s="417" t="e">
        <f t="shared" si="1"/>
        <v>#DIV/0!</v>
      </c>
      <c r="H24" s="417" t="e">
        <f t="shared" si="2"/>
        <v>#DIV/0!</v>
      </c>
      <c r="I24" s="259"/>
      <c r="J24" s="259"/>
      <c r="K24" s="259"/>
      <c r="L24" s="259"/>
      <c r="M24" s="417" t="e">
        <f t="shared" si="4"/>
        <v>#DIV/0!</v>
      </c>
      <c r="N24" s="417" t="e">
        <f t="shared" si="5"/>
        <v>#DIV/0!</v>
      </c>
      <c r="O24" s="259"/>
      <c r="P24" s="259"/>
      <c r="Q24" s="259"/>
      <c r="R24" s="259"/>
      <c r="S24" s="417" t="e">
        <f t="shared" si="21"/>
        <v>#DIV/0!</v>
      </c>
      <c r="T24" s="417" t="e">
        <f t="shared" si="27"/>
        <v>#DIV/0!</v>
      </c>
      <c r="U24" s="259"/>
      <c r="V24" s="259"/>
      <c r="W24" s="259"/>
      <c r="X24" s="259"/>
      <c r="Y24" s="417" t="e">
        <f t="shared" si="22"/>
        <v>#DIV/0!</v>
      </c>
      <c r="Z24" s="417" t="e">
        <f t="shared" si="28"/>
        <v>#DIV/0!</v>
      </c>
      <c r="AA24" s="259"/>
      <c r="AB24" s="259"/>
      <c r="AC24" s="259"/>
      <c r="AD24" s="259"/>
      <c r="AE24" s="417" t="e">
        <f t="shared" si="23"/>
        <v>#DIV/0!</v>
      </c>
      <c r="AF24" s="417" t="e">
        <f t="shared" si="29"/>
        <v>#DIV/0!</v>
      </c>
      <c r="AG24" s="259"/>
      <c r="AH24" s="259"/>
      <c r="AI24" s="259"/>
      <c r="AJ24" s="259"/>
      <c r="AK24" s="417" t="e">
        <f t="shared" si="24"/>
        <v>#DIV/0!</v>
      </c>
      <c r="AL24" s="417" t="e">
        <f t="shared" si="30"/>
        <v>#DIV/0!</v>
      </c>
      <c r="AM24" s="263">
        <f t="shared" si="14"/>
        <v>0</v>
      </c>
      <c r="AN24" s="263">
        <f>AH24+AB24+V24+P24+J24+D24</f>
        <v>0</v>
      </c>
      <c r="AO24" s="417">
        <f t="shared" si="15"/>
        <v>0</v>
      </c>
      <c r="AP24" s="417">
        <f t="shared" si="16"/>
        <v>0</v>
      </c>
      <c r="AQ24" s="417" t="e">
        <f t="shared" si="31"/>
        <v>#DIV/0!</v>
      </c>
      <c r="AR24" s="417" t="e">
        <f t="shared" si="32"/>
        <v>#DIV/0!</v>
      </c>
    </row>
    <row r="25" spans="1:44" s="60" customFormat="1" ht="13.5" customHeight="1">
      <c r="A25" s="364">
        <v>7</v>
      </c>
      <c r="B25" s="261" t="s">
        <v>657</v>
      </c>
      <c r="C25" s="261">
        <f t="shared" ref="C25:AN25" si="33">C26+C29+C30</f>
        <v>759000</v>
      </c>
      <c r="D25" s="261">
        <f t="shared" si="33"/>
        <v>112000</v>
      </c>
      <c r="E25" s="261">
        <v>296865</v>
      </c>
      <c r="F25" s="261">
        <v>123110</v>
      </c>
      <c r="G25" s="417">
        <f t="shared" si="1"/>
        <v>39.112648221343875</v>
      </c>
      <c r="H25" s="417">
        <f t="shared" si="2"/>
        <v>109.91964285714286</v>
      </c>
      <c r="I25" s="261">
        <f t="shared" si="33"/>
        <v>800000</v>
      </c>
      <c r="J25" s="261">
        <f t="shared" si="33"/>
        <v>174000</v>
      </c>
      <c r="K25" s="261">
        <v>272391</v>
      </c>
      <c r="L25" s="261">
        <v>91565</v>
      </c>
      <c r="M25" s="417">
        <f t="shared" si="4"/>
        <v>34.048875000000002</v>
      </c>
      <c r="N25" s="417">
        <f t="shared" si="5"/>
        <v>52.623563218390807</v>
      </c>
      <c r="O25" s="261">
        <f t="shared" si="33"/>
        <v>130000</v>
      </c>
      <c r="P25" s="261">
        <f t="shared" si="33"/>
        <v>74000</v>
      </c>
      <c r="Q25" s="261">
        <v>64677</v>
      </c>
      <c r="R25" s="261">
        <v>36530</v>
      </c>
      <c r="S25" s="417">
        <f t="shared" si="21"/>
        <v>49.751538461538459</v>
      </c>
      <c r="T25" s="417">
        <f t="shared" si="27"/>
        <v>49.364864864864863</v>
      </c>
      <c r="U25" s="261">
        <f t="shared" si="33"/>
        <v>151000</v>
      </c>
      <c r="V25" s="261">
        <f t="shared" si="33"/>
        <v>104000</v>
      </c>
      <c r="W25" s="261">
        <v>24850</v>
      </c>
      <c r="X25" s="261">
        <v>13190</v>
      </c>
      <c r="Y25" s="417">
        <f t="shared" si="22"/>
        <v>16.456953642384107</v>
      </c>
      <c r="Z25" s="417">
        <f t="shared" si="28"/>
        <v>12.682692307692308</v>
      </c>
      <c r="AA25" s="261">
        <f t="shared" si="33"/>
        <v>113000</v>
      </c>
      <c r="AB25" s="261">
        <f t="shared" si="33"/>
        <v>61000</v>
      </c>
      <c r="AC25" s="261">
        <v>36041</v>
      </c>
      <c r="AD25" s="261">
        <v>20548</v>
      </c>
      <c r="AE25" s="417">
        <f t="shared" si="23"/>
        <v>31.894690265486727</v>
      </c>
      <c r="AF25" s="417">
        <f t="shared" si="29"/>
        <v>33.685245901639341</v>
      </c>
      <c r="AG25" s="261">
        <f t="shared" si="33"/>
        <v>47000</v>
      </c>
      <c r="AH25" s="261">
        <f t="shared" si="33"/>
        <v>45000</v>
      </c>
      <c r="AI25" s="261">
        <v>20785</v>
      </c>
      <c r="AJ25" s="261">
        <v>18715</v>
      </c>
      <c r="AK25" s="417">
        <f t="shared" si="24"/>
        <v>44.223404255319146</v>
      </c>
      <c r="AL25" s="417">
        <f t="shared" si="30"/>
        <v>41.588888888888889</v>
      </c>
      <c r="AM25" s="263">
        <f t="shared" si="14"/>
        <v>2000000</v>
      </c>
      <c r="AN25" s="261">
        <f t="shared" si="33"/>
        <v>570000</v>
      </c>
      <c r="AO25" s="417">
        <f t="shared" si="15"/>
        <v>715609</v>
      </c>
      <c r="AP25" s="417">
        <f t="shared" si="16"/>
        <v>303658</v>
      </c>
      <c r="AQ25" s="417">
        <f t="shared" si="31"/>
        <v>35.780450000000002</v>
      </c>
      <c r="AR25" s="417">
        <f t="shared" si="32"/>
        <v>53.273333333333333</v>
      </c>
    </row>
    <row r="26" spans="1:44" s="60" customFormat="1" ht="14.25" hidden="1">
      <c r="A26" s="364"/>
      <c r="B26" s="261" t="s">
        <v>81</v>
      </c>
      <c r="C26" s="261">
        <f>C27+C28</f>
        <v>389000</v>
      </c>
      <c r="D26" s="261">
        <f t="shared" ref="D26:AH26" si="34">D27+D28</f>
        <v>42000</v>
      </c>
      <c r="E26" s="261"/>
      <c r="F26" s="261">
        <f t="shared" ref="F26" si="35">F27+F28</f>
        <v>0</v>
      </c>
      <c r="G26" s="417">
        <f t="shared" si="1"/>
        <v>0</v>
      </c>
      <c r="H26" s="417">
        <f t="shared" si="2"/>
        <v>0</v>
      </c>
      <c r="I26" s="261">
        <f t="shared" si="34"/>
        <v>470000</v>
      </c>
      <c r="J26" s="261">
        <f t="shared" si="34"/>
        <v>44000</v>
      </c>
      <c r="K26" s="261"/>
      <c r="L26" s="261"/>
      <c r="M26" s="417">
        <f t="shared" si="4"/>
        <v>0</v>
      </c>
      <c r="N26" s="417">
        <f t="shared" si="5"/>
        <v>0</v>
      </c>
      <c r="O26" s="261">
        <f>O27+O28</f>
        <v>70000</v>
      </c>
      <c r="P26" s="261">
        <f t="shared" si="34"/>
        <v>14000</v>
      </c>
      <c r="Q26" s="261"/>
      <c r="R26" s="261"/>
      <c r="S26" s="417">
        <f t="shared" si="21"/>
        <v>0</v>
      </c>
      <c r="T26" s="417">
        <f t="shared" si="27"/>
        <v>0</v>
      </c>
      <c r="U26" s="261">
        <f t="shared" si="34"/>
        <v>61000</v>
      </c>
      <c r="V26" s="261">
        <f t="shared" si="34"/>
        <v>14000</v>
      </c>
      <c r="W26" s="261"/>
      <c r="X26" s="261"/>
      <c r="Y26" s="417">
        <f t="shared" si="22"/>
        <v>0</v>
      </c>
      <c r="Z26" s="417">
        <f t="shared" si="28"/>
        <v>0</v>
      </c>
      <c r="AA26" s="261">
        <f t="shared" si="34"/>
        <v>58000</v>
      </c>
      <c r="AB26" s="261">
        <f t="shared" si="34"/>
        <v>6000</v>
      </c>
      <c r="AC26" s="261"/>
      <c r="AD26" s="261"/>
      <c r="AE26" s="417">
        <f t="shared" si="23"/>
        <v>0</v>
      </c>
      <c r="AF26" s="417">
        <f t="shared" si="29"/>
        <v>0</v>
      </c>
      <c r="AG26" s="261">
        <f t="shared" si="34"/>
        <v>12000</v>
      </c>
      <c r="AH26" s="261">
        <f t="shared" si="34"/>
        <v>10000</v>
      </c>
      <c r="AI26" s="261"/>
      <c r="AJ26" s="261"/>
      <c r="AK26" s="417">
        <f t="shared" si="24"/>
        <v>0</v>
      </c>
      <c r="AL26" s="417">
        <f t="shared" si="30"/>
        <v>0</v>
      </c>
      <c r="AM26" s="263">
        <f t="shared" si="14"/>
        <v>1060000</v>
      </c>
      <c r="AN26" s="263">
        <f>AH26+AB26+V26+P26+J26+D26</f>
        <v>130000</v>
      </c>
      <c r="AO26" s="417">
        <f t="shared" si="15"/>
        <v>0</v>
      </c>
      <c r="AP26" s="417">
        <f t="shared" si="16"/>
        <v>0</v>
      </c>
      <c r="AQ26" s="417">
        <f t="shared" si="31"/>
        <v>0</v>
      </c>
      <c r="AR26" s="417">
        <f t="shared" si="32"/>
        <v>0</v>
      </c>
    </row>
    <row r="27" spans="1:44" s="60" customFormat="1" ht="14.25" hidden="1">
      <c r="A27" s="364"/>
      <c r="B27" s="261" t="s">
        <v>700</v>
      </c>
      <c r="C27" s="261">
        <v>105000</v>
      </c>
      <c r="D27" s="261">
        <f>C27*40%</f>
        <v>42000</v>
      </c>
      <c r="E27" s="261"/>
      <c r="F27" s="261">
        <f>E27*40%</f>
        <v>0</v>
      </c>
      <c r="G27" s="417">
        <f t="shared" si="1"/>
        <v>0</v>
      </c>
      <c r="H27" s="417">
        <f t="shared" si="2"/>
        <v>0</v>
      </c>
      <c r="I27" s="261">
        <v>110000</v>
      </c>
      <c r="J27" s="261">
        <f>I27*40%</f>
        <v>44000</v>
      </c>
      <c r="K27" s="261"/>
      <c r="L27" s="261"/>
      <c r="M27" s="417">
        <f t="shared" si="4"/>
        <v>0</v>
      </c>
      <c r="N27" s="417">
        <f t="shared" si="5"/>
        <v>0</v>
      </c>
      <c r="O27" s="261">
        <v>35000</v>
      </c>
      <c r="P27" s="261">
        <f>O27*40%</f>
        <v>14000</v>
      </c>
      <c r="Q27" s="261"/>
      <c r="R27" s="261"/>
      <c r="S27" s="417">
        <f t="shared" si="21"/>
        <v>0</v>
      </c>
      <c r="T27" s="417">
        <f t="shared" si="27"/>
        <v>0</v>
      </c>
      <c r="U27" s="261">
        <v>35000</v>
      </c>
      <c r="V27" s="261">
        <f>U27*40%</f>
        <v>14000</v>
      </c>
      <c r="W27" s="261"/>
      <c r="X27" s="261"/>
      <c r="Y27" s="417">
        <f t="shared" si="22"/>
        <v>0</v>
      </c>
      <c r="Z27" s="417">
        <f t="shared" si="28"/>
        <v>0</v>
      </c>
      <c r="AA27" s="261">
        <v>15000</v>
      </c>
      <c r="AB27" s="261">
        <f>AA27*40%</f>
        <v>6000</v>
      </c>
      <c r="AC27" s="261"/>
      <c r="AD27" s="261"/>
      <c r="AE27" s="417">
        <f t="shared" si="23"/>
        <v>0</v>
      </c>
      <c r="AF27" s="417">
        <f t="shared" si="29"/>
        <v>0</v>
      </c>
      <c r="AG27" s="261">
        <v>10000</v>
      </c>
      <c r="AH27" s="261">
        <f>AG27</f>
        <v>10000</v>
      </c>
      <c r="AI27" s="261"/>
      <c r="AJ27" s="261"/>
      <c r="AK27" s="417">
        <f t="shared" si="24"/>
        <v>0</v>
      </c>
      <c r="AL27" s="417">
        <f t="shared" si="30"/>
        <v>0</v>
      </c>
      <c r="AM27" s="263">
        <f t="shared" si="14"/>
        <v>310000</v>
      </c>
      <c r="AN27" s="263">
        <f>AH27+AB27+V27+P27+J27+D27</f>
        <v>130000</v>
      </c>
      <c r="AO27" s="417">
        <f t="shared" si="15"/>
        <v>0</v>
      </c>
      <c r="AP27" s="417">
        <f t="shared" si="16"/>
        <v>0</v>
      </c>
      <c r="AQ27" s="417">
        <f t="shared" si="31"/>
        <v>0</v>
      </c>
      <c r="AR27" s="417">
        <f t="shared" si="32"/>
        <v>0</v>
      </c>
    </row>
    <row r="28" spans="1:44" s="60" customFormat="1" ht="14.25" hidden="1">
      <c r="A28" s="364"/>
      <c r="B28" s="261" t="s">
        <v>323</v>
      </c>
      <c r="C28" s="261">
        <v>284000</v>
      </c>
      <c r="D28" s="261"/>
      <c r="E28" s="261"/>
      <c r="F28" s="261"/>
      <c r="G28" s="417">
        <f t="shared" si="1"/>
        <v>0</v>
      </c>
      <c r="H28" s="417" t="e">
        <f t="shared" si="2"/>
        <v>#DIV/0!</v>
      </c>
      <c r="I28" s="261">
        <v>360000</v>
      </c>
      <c r="J28" s="261"/>
      <c r="K28" s="261"/>
      <c r="L28" s="261"/>
      <c r="M28" s="417">
        <f t="shared" si="4"/>
        <v>0</v>
      </c>
      <c r="N28" s="417" t="e">
        <f t="shared" si="5"/>
        <v>#DIV/0!</v>
      </c>
      <c r="O28" s="261">
        <v>35000</v>
      </c>
      <c r="P28" s="261"/>
      <c r="Q28" s="261"/>
      <c r="R28" s="261"/>
      <c r="S28" s="417">
        <f t="shared" si="21"/>
        <v>0</v>
      </c>
      <c r="T28" s="417" t="e">
        <f t="shared" si="27"/>
        <v>#DIV/0!</v>
      </c>
      <c r="U28" s="261">
        <v>26000</v>
      </c>
      <c r="V28" s="261"/>
      <c r="W28" s="261"/>
      <c r="X28" s="261"/>
      <c r="Y28" s="417">
        <f t="shared" si="22"/>
        <v>0</v>
      </c>
      <c r="Z28" s="417" t="e">
        <f t="shared" si="28"/>
        <v>#DIV/0!</v>
      </c>
      <c r="AA28" s="261">
        <v>43000</v>
      </c>
      <c r="AB28" s="261"/>
      <c r="AC28" s="261"/>
      <c r="AD28" s="261"/>
      <c r="AE28" s="417">
        <f t="shared" si="23"/>
        <v>0</v>
      </c>
      <c r="AF28" s="417" t="e">
        <f t="shared" si="29"/>
        <v>#DIV/0!</v>
      </c>
      <c r="AG28" s="261">
        <v>2000</v>
      </c>
      <c r="AH28" s="261"/>
      <c r="AI28" s="261"/>
      <c r="AJ28" s="261"/>
      <c r="AK28" s="417">
        <f t="shared" si="24"/>
        <v>0</v>
      </c>
      <c r="AL28" s="417" t="e">
        <f t="shared" si="30"/>
        <v>#DIV/0!</v>
      </c>
      <c r="AM28" s="263">
        <f t="shared" si="14"/>
        <v>750000</v>
      </c>
      <c r="AN28" s="261"/>
      <c r="AO28" s="417">
        <f t="shared" si="15"/>
        <v>0</v>
      </c>
      <c r="AP28" s="417">
        <f t="shared" si="16"/>
        <v>0</v>
      </c>
      <c r="AQ28" s="417">
        <f t="shared" si="31"/>
        <v>0</v>
      </c>
      <c r="AR28" s="417" t="e">
        <f t="shared" si="32"/>
        <v>#DIV/0!</v>
      </c>
    </row>
    <row r="29" spans="1:44" s="60" customFormat="1" hidden="1">
      <c r="A29" s="364"/>
      <c r="B29" s="261" t="s">
        <v>699</v>
      </c>
      <c r="C29" s="256">
        <v>300000</v>
      </c>
      <c r="D29" s="209"/>
      <c r="E29" s="256"/>
      <c r="F29" s="209"/>
      <c r="G29" s="417">
        <f t="shared" si="1"/>
        <v>0</v>
      </c>
      <c r="H29" s="417" t="e">
        <f t="shared" si="2"/>
        <v>#DIV/0!</v>
      </c>
      <c r="I29" s="256">
        <v>200000</v>
      </c>
      <c r="J29" s="209"/>
      <c r="K29" s="209"/>
      <c r="L29" s="209"/>
      <c r="M29" s="417">
        <f t="shared" si="4"/>
        <v>0</v>
      </c>
      <c r="N29" s="417" t="e">
        <f t="shared" si="5"/>
        <v>#DIV/0!</v>
      </c>
      <c r="O29" s="256"/>
      <c r="P29" s="209"/>
      <c r="Q29" s="209"/>
      <c r="R29" s="209"/>
      <c r="S29" s="417" t="e">
        <f t="shared" si="21"/>
        <v>#DIV/0!</v>
      </c>
      <c r="T29" s="417" t="e">
        <f t="shared" si="27"/>
        <v>#DIV/0!</v>
      </c>
      <c r="U29" s="256"/>
      <c r="V29" s="209"/>
      <c r="W29" s="209"/>
      <c r="X29" s="209"/>
      <c r="Y29" s="417" t="e">
        <f t="shared" si="22"/>
        <v>#DIV/0!</v>
      </c>
      <c r="Z29" s="417" t="e">
        <f t="shared" si="28"/>
        <v>#DIV/0!</v>
      </c>
      <c r="AA29" s="256"/>
      <c r="AB29" s="256"/>
      <c r="AC29" s="256"/>
      <c r="AD29" s="256"/>
      <c r="AE29" s="417" t="e">
        <f t="shared" si="23"/>
        <v>#DIV/0!</v>
      </c>
      <c r="AF29" s="417" t="e">
        <f t="shared" si="29"/>
        <v>#DIV/0!</v>
      </c>
      <c r="AG29" s="256"/>
      <c r="AH29" s="209"/>
      <c r="AI29" s="209"/>
      <c r="AJ29" s="209"/>
      <c r="AK29" s="417" t="e">
        <f t="shared" si="24"/>
        <v>#DIV/0!</v>
      </c>
      <c r="AL29" s="417" t="e">
        <f t="shared" si="30"/>
        <v>#DIV/0!</v>
      </c>
      <c r="AM29" s="263">
        <f t="shared" si="14"/>
        <v>500000</v>
      </c>
      <c r="AN29" s="209">
        <f>D29+J29+P29+V29+AB29+AH29</f>
        <v>0</v>
      </c>
      <c r="AO29" s="417">
        <f t="shared" si="15"/>
        <v>0</v>
      </c>
      <c r="AP29" s="417">
        <f t="shared" si="16"/>
        <v>0</v>
      </c>
      <c r="AQ29" s="417">
        <f t="shared" si="31"/>
        <v>0</v>
      </c>
      <c r="AR29" s="417" t="e">
        <f t="shared" si="32"/>
        <v>#DIV/0!</v>
      </c>
    </row>
    <row r="30" spans="1:44" s="153" customFormat="1" hidden="1">
      <c r="A30" s="363"/>
      <c r="B30" s="257" t="s">
        <v>698</v>
      </c>
      <c r="C30" s="256">
        <f t="shared" ref="C30:AN30" si="36">C31+C32</f>
        <v>70000</v>
      </c>
      <c r="D30" s="256">
        <f t="shared" si="36"/>
        <v>70000</v>
      </c>
      <c r="E30" s="256"/>
      <c r="F30" s="256">
        <f t="shared" ref="F30" si="37">F31+F32</f>
        <v>0</v>
      </c>
      <c r="G30" s="417">
        <f t="shared" si="1"/>
        <v>0</v>
      </c>
      <c r="H30" s="417">
        <f t="shared" si="2"/>
        <v>0</v>
      </c>
      <c r="I30" s="256">
        <f t="shared" si="36"/>
        <v>130000</v>
      </c>
      <c r="J30" s="256">
        <f t="shared" si="36"/>
        <v>130000</v>
      </c>
      <c r="K30" s="256"/>
      <c r="L30" s="256"/>
      <c r="M30" s="417">
        <f t="shared" si="4"/>
        <v>0</v>
      </c>
      <c r="N30" s="417">
        <f t="shared" si="5"/>
        <v>0</v>
      </c>
      <c r="O30" s="256">
        <f t="shared" si="36"/>
        <v>60000</v>
      </c>
      <c r="P30" s="256">
        <f t="shared" si="36"/>
        <v>60000</v>
      </c>
      <c r="Q30" s="256"/>
      <c r="R30" s="256"/>
      <c r="S30" s="417">
        <f t="shared" si="21"/>
        <v>0</v>
      </c>
      <c r="T30" s="417">
        <f t="shared" si="27"/>
        <v>0</v>
      </c>
      <c r="U30" s="256">
        <f t="shared" si="36"/>
        <v>90000</v>
      </c>
      <c r="V30" s="256">
        <f t="shared" si="36"/>
        <v>90000</v>
      </c>
      <c r="W30" s="256"/>
      <c r="X30" s="256"/>
      <c r="Y30" s="417">
        <f t="shared" si="22"/>
        <v>0</v>
      </c>
      <c r="Z30" s="417">
        <f t="shared" si="28"/>
        <v>0</v>
      </c>
      <c r="AA30" s="256">
        <f t="shared" si="36"/>
        <v>55000</v>
      </c>
      <c r="AB30" s="256">
        <f t="shared" si="36"/>
        <v>55000</v>
      </c>
      <c r="AC30" s="256"/>
      <c r="AD30" s="256"/>
      <c r="AE30" s="417">
        <f t="shared" si="23"/>
        <v>0</v>
      </c>
      <c r="AF30" s="417">
        <f t="shared" si="29"/>
        <v>0</v>
      </c>
      <c r="AG30" s="256">
        <f t="shared" si="36"/>
        <v>35000</v>
      </c>
      <c r="AH30" s="256">
        <f t="shared" si="36"/>
        <v>35000</v>
      </c>
      <c r="AI30" s="256"/>
      <c r="AJ30" s="256"/>
      <c r="AK30" s="417">
        <f t="shared" si="24"/>
        <v>0</v>
      </c>
      <c r="AL30" s="417">
        <f t="shared" si="30"/>
        <v>0</v>
      </c>
      <c r="AM30" s="263">
        <f t="shared" si="14"/>
        <v>440000</v>
      </c>
      <c r="AN30" s="255">
        <f t="shared" si="36"/>
        <v>440000</v>
      </c>
      <c r="AO30" s="417">
        <f t="shared" si="15"/>
        <v>0</v>
      </c>
      <c r="AP30" s="417">
        <f t="shared" si="16"/>
        <v>0</v>
      </c>
      <c r="AQ30" s="417">
        <f t="shared" si="31"/>
        <v>0</v>
      </c>
      <c r="AR30" s="417">
        <f t="shared" si="32"/>
        <v>0</v>
      </c>
    </row>
    <row r="31" spans="1:44" s="153" customFormat="1" hidden="1">
      <c r="A31" s="363"/>
      <c r="B31" s="257" t="s">
        <v>103</v>
      </c>
      <c r="C31" s="256">
        <v>70000</v>
      </c>
      <c r="D31" s="256">
        <f>C31</f>
        <v>70000</v>
      </c>
      <c r="E31" s="256"/>
      <c r="F31" s="256">
        <f>E31</f>
        <v>0</v>
      </c>
      <c r="G31" s="417">
        <f t="shared" si="1"/>
        <v>0</v>
      </c>
      <c r="H31" s="417">
        <f t="shared" si="2"/>
        <v>0</v>
      </c>
      <c r="I31" s="256">
        <v>130000</v>
      </c>
      <c r="J31" s="256">
        <f>I31</f>
        <v>130000</v>
      </c>
      <c r="K31" s="256"/>
      <c r="L31" s="256"/>
      <c r="M31" s="417">
        <f t="shared" si="4"/>
        <v>0</v>
      </c>
      <c r="N31" s="417">
        <f t="shared" si="5"/>
        <v>0</v>
      </c>
      <c r="O31" s="256">
        <v>60000</v>
      </c>
      <c r="P31" s="256">
        <f>O31</f>
        <v>60000</v>
      </c>
      <c r="Q31" s="256"/>
      <c r="R31" s="256"/>
      <c r="S31" s="417">
        <f t="shared" si="21"/>
        <v>0</v>
      </c>
      <c r="T31" s="417">
        <f t="shared" si="27"/>
        <v>0</v>
      </c>
      <c r="U31" s="256">
        <v>90000</v>
      </c>
      <c r="V31" s="256">
        <f>U31</f>
        <v>90000</v>
      </c>
      <c r="W31" s="256"/>
      <c r="X31" s="256"/>
      <c r="Y31" s="417">
        <f t="shared" si="22"/>
        <v>0</v>
      </c>
      <c r="Z31" s="417">
        <f t="shared" si="28"/>
        <v>0</v>
      </c>
      <c r="AA31" s="256">
        <v>55000</v>
      </c>
      <c r="AB31" s="256">
        <f>AA31</f>
        <v>55000</v>
      </c>
      <c r="AC31" s="256"/>
      <c r="AD31" s="256"/>
      <c r="AE31" s="417">
        <f t="shared" si="23"/>
        <v>0</v>
      </c>
      <c r="AF31" s="417">
        <f t="shared" si="29"/>
        <v>0</v>
      </c>
      <c r="AG31" s="256">
        <v>35000</v>
      </c>
      <c r="AH31" s="256">
        <f>AG31</f>
        <v>35000</v>
      </c>
      <c r="AI31" s="256"/>
      <c r="AJ31" s="256"/>
      <c r="AK31" s="417">
        <f t="shared" si="24"/>
        <v>0</v>
      </c>
      <c r="AL31" s="417">
        <f t="shared" si="30"/>
        <v>0</v>
      </c>
      <c r="AM31" s="263">
        <f t="shared" si="14"/>
        <v>440000</v>
      </c>
      <c r="AN31" s="263">
        <f>D31+J31+P31+V31+AB31+AH31</f>
        <v>440000</v>
      </c>
      <c r="AO31" s="417">
        <f t="shared" si="15"/>
        <v>0</v>
      </c>
      <c r="AP31" s="417">
        <f t="shared" si="16"/>
        <v>0</v>
      </c>
      <c r="AQ31" s="417">
        <f t="shared" si="31"/>
        <v>0</v>
      </c>
      <c r="AR31" s="417">
        <f t="shared" si="32"/>
        <v>0</v>
      </c>
    </row>
    <row r="32" spans="1:44" s="153" customFormat="1" ht="39" hidden="1">
      <c r="A32" s="363"/>
      <c r="B32" s="366" t="s">
        <v>743</v>
      </c>
      <c r="C32" s="256"/>
      <c r="D32" s="256"/>
      <c r="E32" s="256"/>
      <c r="F32" s="256"/>
      <c r="G32" s="417" t="e">
        <f t="shared" si="1"/>
        <v>#DIV/0!</v>
      </c>
      <c r="H32" s="417" t="e">
        <f t="shared" si="2"/>
        <v>#DIV/0!</v>
      </c>
      <c r="I32" s="256"/>
      <c r="J32" s="256"/>
      <c r="K32" s="256"/>
      <c r="L32" s="256"/>
      <c r="M32" s="417" t="e">
        <f t="shared" si="4"/>
        <v>#DIV/0!</v>
      </c>
      <c r="N32" s="417" t="e">
        <f t="shared" si="5"/>
        <v>#DIV/0!</v>
      </c>
      <c r="O32" s="256"/>
      <c r="P32" s="256"/>
      <c r="Q32" s="256"/>
      <c r="R32" s="256"/>
      <c r="S32" s="417" t="e">
        <f t="shared" si="21"/>
        <v>#DIV/0!</v>
      </c>
      <c r="T32" s="417" t="e">
        <f t="shared" si="27"/>
        <v>#DIV/0!</v>
      </c>
      <c r="U32" s="256"/>
      <c r="V32" s="256"/>
      <c r="W32" s="256"/>
      <c r="X32" s="256"/>
      <c r="Y32" s="417" t="e">
        <f t="shared" si="22"/>
        <v>#DIV/0!</v>
      </c>
      <c r="Z32" s="417" t="e">
        <f t="shared" si="28"/>
        <v>#DIV/0!</v>
      </c>
      <c r="AA32" s="256"/>
      <c r="AB32" s="256"/>
      <c r="AC32" s="256"/>
      <c r="AD32" s="256"/>
      <c r="AE32" s="417" t="e">
        <f t="shared" si="23"/>
        <v>#DIV/0!</v>
      </c>
      <c r="AF32" s="417" t="e">
        <f t="shared" si="29"/>
        <v>#DIV/0!</v>
      </c>
      <c r="AG32" s="256"/>
      <c r="AH32" s="256"/>
      <c r="AI32" s="256"/>
      <c r="AJ32" s="256"/>
      <c r="AK32" s="417" t="e">
        <f t="shared" si="24"/>
        <v>#DIV/0!</v>
      </c>
      <c r="AL32" s="417" t="e">
        <f t="shared" si="30"/>
        <v>#DIV/0!</v>
      </c>
      <c r="AM32" s="263">
        <f t="shared" si="14"/>
        <v>0</v>
      </c>
      <c r="AN32" s="263">
        <f>D32+J32+P32+V32+AB32+AH32</f>
        <v>0</v>
      </c>
      <c r="AO32" s="417">
        <f t="shared" si="15"/>
        <v>0</v>
      </c>
      <c r="AP32" s="417">
        <f t="shared" si="16"/>
        <v>0</v>
      </c>
      <c r="AQ32" s="417" t="e">
        <f t="shared" si="31"/>
        <v>#DIV/0!</v>
      </c>
      <c r="AR32" s="417" t="e">
        <f t="shared" si="32"/>
        <v>#DIV/0!</v>
      </c>
    </row>
    <row r="33" spans="1:44" s="60" customFormat="1" ht="14.25">
      <c r="A33" s="364">
        <v>8</v>
      </c>
      <c r="B33" s="261" t="s">
        <v>658</v>
      </c>
      <c r="C33" s="259">
        <v>450000</v>
      </c>
      <c r="D33" s="259">
        <f>C33</f>
        <v>450000</v>
      </c>
      <c r="E33" s="259">
        <v>20500</v>
      </c>
      <c r="F33" s="259">
        <v>20500</v>
      </c>
      <c r="G33" s="417">
        <f t="shared" si="1"/>
        <v>4.5555555555555554</v>
      </c>
      <c r="H33" s="417">
        <f t="shared" si="2"/>
        <v>4.5555555555555554</v>
      </c>
      <c r="I33" s="259">
        <v>722000</v>
      </c>
      <c r="J33" s="259">
        <f>I33</f>
        <v>722000</v>
      </c>
      <c r="K33" s="259">
        <v>5050</v>
      </c>
      <c r="L33" s="259">
        <v>5050</v>
      </c>
      <c r="M33" s="417">
        <f t="shared" si="4"/>
        <v>0.69944598337950137</v>
      </c>
      <c r="N33" s="417">
        <f t="shared" si="5"/>
        <v>0.69944598337950137</v>
      </c>
      <c r="O33" s="259">
        <f>625000-18000</f>
        <v>607000</v>
      </c>
      <c r="P33" s="259">
        <f>O33</f>
        <v>607000</v>
      </c>
      <c r="Q33" s="259">
        <f>3375+18900</f>
        <v>22275</v>
      </c>
      <c r="R33" s="259">
        <v>22275</v>
      </c>
      <c r="S33" s="417">
        <f t="shared" si="21"/>
        <v>3.6696869851729819</v>
      </c>
      <c r="T33" s="417">
        <f t="shared" si="27"/>
        <v>3.6696869851729819</v>
      </c>
      <c r="U33" s="259">
        <v>410000</v>
      </c>
      <c r="V33" s="259">
        <f>U33</f>
        <v>410000</v>
      </c>
      <c r="W33" s="259">
        <v>68610</v>
      </c>
      <c r="X33" s="259">
        <v>68610</v>
      </c>
      <c r="Y33" s="417">
        <f t="shared" si="22"/>
        <v>16.734146341463415</v>
      </c>
      <c r="Z33" s="417">
        <f t="shared" si="28"/>
        <v>16.734146341463415</v>
      </c>
      <c r="AA33" s="259">
        <f>60000+250000+100000</f>
        <v>410000</v>
      </c>
      <c r="AB33" s="259">
        <f>AA33</f>
        <v>410000</v>
      </c>
      <c r="AC33" s="259">
        <v>43750</v>
      </c>
      <c r="AD33" s="259">
        <v>43750</v>
      </c>
      <c r="AE33" s="417">
        <f t="shared" si="23"/>
        <v>10.670731707317072</v>
      </c>
      <c r="AF33" s="417">
        <f t="shared" si="29"/>
        <v>10.670731707317072</v>
      </c>
      <c r="AG33" s="259">
        <v>400000</v>
      </c>
      <c r="AH33" s="259">
        <f>AG33</f>
        <v>400000</v>
      </c>
      <c r="AI33" s="259">
        <v>73586</v>
      </c>
      <c r="AJ33" s="259">
        <v>73586</v>
      </c>
      <c r="AK33" s="417">
        <f t="shared" si="24"/>
        <v>18.3965</v>
      </c>
      <c r="AL33" s="417">
        <f t="shared" si="30"/>
        <v>18.3965</v>
      </c>
      <c r="AM33" s="263">
        <f t="shared" si="14"/>
        <v>2999000</v>
      </c>
      <c r="AN33" s="259">
        <f>D33+J33+P33+V33+AB33+AH33</f>
        <v>2999000</v>
      </c>
      <c r="AO33" s="417">
        <f t="shared" si="15"/>
        <v>233771</v>
      </c>
      <c r="AP33" s="417">
        <f t="shared" si="16"/>
        <v>233771</v>
      </c>
      <c r="AQ33" s="417">
        <f t="shared" si="31"/>
        <v>7.7949649883294434</v>
      </c>
      <c r="AR33" s="417">
        <f t="shared" si="32"/>
        <v>7.7949649883294434</v>
      </c>
    </row>
    <row r="34" spans="1:44" s="153" customFormat="1">
      <c r="A34" s="363">
        <v>9</v>
      </c>
      <c r="B34" s="411" t="s">
        <v>272</v>
      </c>
      <c r="C34" s="256"/>
      <c r="D34" s="256"/>
      <c r="E34" s="256"/>
      <c r="F34" s="256"/>
      <c r="G34" s="417"/>
      <c r="H34" s="417"/>
      <c r="I34" s="256"/>
      <c r="J34" s="256"/>
      <c r="K34" s="256"/>
      <c r="L34" s="256"/>
      <c r="M34" s="417"/>
      <c r="N34" s="417"/>
      <c r="O34" s="256"/>
      <c r="P34" s="256"/>
      <c r="Q34" s="256"/>
      <c r="R34" s="256"/>
      <c r="S34" s="417"/>
      <c r="T34" s="417"/>
      <c r="U34" s="256"/>
      <c r="V34" s="256"/>
      <c r="W34" s="256"/>
      <c r="X34" s="256"/>
      <c r="Y34" s="417"/>
      <c r="Z34" s="417"/>
      <c r="AA34" s="359"/>
      <c r="AB34" s="359"/>
      <c r="AC34" s="359"/>
      <c r="AD34" s="359"/>
      <c r="AE34" s="417"/>
      <c r="AF34" s="417"/>
      <c r="AG34" s="359"/>
      <c r="AH34" s="359"/>
      <c r="AI34" s="359"/>
      <c r="AJ34" s="359"/>
      <c r="AK34" s="417"/>
      <c r="AL34" s="417"/>
      <c r="AM34" s="263">
        <f t="shared" si="14"/>
        <v>0</v>
      </c>
      <c r="AN34" s="263">
        <f>AH34+AB34+V34+P34+J34+D34</f>
        <v>0</v>
      </c>
      <c r="AO34" s="417">
        <f t="shared" si="15"/>
        <v>0</v>
      </c>
      <c r="AP34" s="417">
        <f t="shared" si="16"/>
        <v>0</v>
      </c>
      <c r="AQ34" s="417"/>
      <c r="AR34" s="417"/>
    </row>
    <row r="35" spans="1:44" s="60" customFormat="1">
      <c r="A35" s="364">
        <v>9</v>
      </c>
      <c r="B35" s="259" t="s">
        <v>61</v>
      </c>
      <c r="C35" s="256"/>
      <c r="D35" s="259"/>
      <c r="E35" s="256"/>
      <c r="F35" s="259"/>
      <c r="G35" s="417"/>
      <c r="H35" s="417"/>
      <c r="I35" s="256"/>
      <c r="J35" s="259"/>
      <c r="K35" s="259"/>
      <c r="L35" s="259"/>
      <c r="M35" s="417"/>
      <c r="N35" s="417"/>
      <c r="O35" s="256"/>
      <c r="P35" s="259"/>
      <c r="Q35" s="259"/>
      <c r="R35" s="259"/>
      <c r="S35" s="417"/>
      <c r="T35" s="417"/>
      <c r="U35" s="256"/>
      <c r="V35" s="259"/>
      <c r="W35" s="259"/>
      <c r="X35" s="259"/>
      <c r="Y35" s="417"/>
      <c r="Z35" s="417"/>
      <c r="AA35" s="359"/>
      <c r="AB35" s="245"/>
      <c r="AC35" s="245"/>
      <c r="AD35" s="245"/>
      <c r="AE35" s="417"/>
      <c r="AF35" s="417"/>
      <c r="AG35" s="359"/>
      <c r="AH35" s="245"/>
      <c r="AI35" s="245"/>
      <c r="AJ35" s="245"/>
      <c r="AK35" s="417"/>
      <c r="AL35" s="417"/>
      <c r="AM35" s="263">
        <f t="shared" si="14"/>
        <v>0</v>
      </c>
      <c r="AN35" s="263">
        <f>AH35+AB35+V35+P35+J35+D35</f>
        <v>0</v>
      </c>
      <c r="AO35" s="417">
        <f t="shared" si="15"/>
        <v>0</v>
      </c>
      <c r="AP35" s="417">
        <f t="shared" si="16"/>
        <v>0</v>
      </c>
      <c r="AQ35" s="417"/>
      <c r="AR35" s="417"/>
    </row>
    <row r="36" spans="1:44" s="153" customFormat="1">
      <c r="A36" s="363"/>
      <c r="B36" s="259" t="s">
        <v>62</v>
      </c>
      <c r="C36" s="256"/>
      <c r="D36" s="256"/>
      <c r="E36" s="256"/>
      <c r="F36" s="256"/>
      <c r="G36" s="417"/>
      <c r="H36" s="417"/>
      <c r="I36" s="256"/>
      <c r="J36" s="256"/>
      <c r="K36" s="256"/>
      <c r="L36" s="256"/>
      <c r="M36" s="417"/>
      <c r="N36" s="417"/>
      <c r="O36" s="256"/>
      <c r="P36" s="256"/>
      <c r="Q36" s="256"/>
      <c r="R36" s="256"/>
      <c r="S36" s="417"/>
      <c r="T36" s="417"/>
      <c r="U36" s="256"/>
      <c r="V36" s="256"/>
      <c r="W36" s="256"/>
      <c r="X36" s="256"/>
      <c r="Y36" s="417"/>
      <c r="Z36" s="417"/>
      <c r="AA36" s="262"/>
      <c r="AB36" s="262"/>
      <c r="AC36" s="262"/>
      <c r="AD36" s="262"/>
      <c r="AE36" s="417"/>
      <c r="AF36" s="417"/>
      <c r="AG36" s="262"/>
      <c r="AH36" s="262"/>
      <c r="AI36" s="262"/>
      <c r="AJ36" s="262"/>
      <c r="AK36" s="417"/>
      <c r="AL36" s="417"/>
      <c r="AM36" s="263">
        <f t="shared" si="14"/>
        <v>0</v>
      </c>
      <c r="AN36" s="263">
        <f>AH36+AB36+V36+P36+J36+D36</f>
        <v>0</v>
      </c>
      <c r="AO36" s="417">
        <f t="shared" si="15"/>
        <v>0</v>
      </c>
      <c r="AP36" s="417">
        <f t="shared" si="16"/>
        <v>0</v>
      </c>
      <c r="AQ36" s="417"/>
      <c r="AR36" s="417"/>
    </row>
    <row r="37" spans="1:44" s="60" customFormat="1">
      <c r="A37" s="412">
        <v>10</v>
      </c>
      <c r="B37" s="413" t="s">
        <v>160</v>
      </c>
      <c r="C37" s="414"/>
      <c r="D37" s="413"/>
      <c r="E37" s="414"/>
      <c r="F37" s="413"/>
      <c r="G37" s="416"/>
      <c r="H37" s="416"/>
      <c r="I37" s="414"/>
      <c r="J37" s="413"/>
      <c r="K37" s="413"/>
      <c r="L37" s="413"/>
      <c r="M37" s="416"/>
      <c r="N37" s="416"/>
      <c r="O37" s="419"/>
      <c r="P37" s="420"/>
      <c r="Q37" s="420"/>
      <c r="R37" s="420"/>
      <c r="S37" s="416"/>
      <c r="T37" s="416"/>
      <c r="U37" s="419"/>
      <c r="V37" s="420"/>
      <c r="W37" s="420"/>
      <c r="X37" s="420"/>
      <c r="Y37" s="416"/>
      <c r="Z37" s="416"/>
      <c r="AA37" s="373"/>
      <c r="AB37" s="372"/>
      <c r="AC37" s="372"/>
      <c r="AD37" s="372"/>
      <c r="AE37" s="416"/>
      <c r="AF37" s="416"/>
      <c r="AG37" s="373"/>
      <c r="AH37" s="372"/>
      <c r="AI37" s="372"/>
      <c r="AJ37" s="372"/>
      <c r="AK37" s="416"/>
      <c r="AL37" s="416"/>
      <c r="AM37" s="424">
        <f t="shared" si="14"/>
        <v>0</v>
      </c>
      <c r="AN37" s="425">
        <f>AH37+AB37+V37+P37+J37+D37</f>
        <v>0</v>
      </c>
      <c r="AO37" s="416">
        <f t="shared" si="15"/>
        <v>0</v>
      </c>
      <c r="AP37" s="416">
        <f t="shared" si="16"/>
        <v>0</v>
      </c>
      <c r="AQ37" s="416"/>
      <c r="AR37" s="416"/>
    </row>
    <row r="38" spans="1:44" s="48" customFormat="1">
      <c r="A38" s="375"/>
      <c r="B38" s="375" t="s">
        <v>86</v>
      </c>
      <c r="C38" s="266">
        <f>C9+C17+C19+C20+C21+C22+C25+C33+C37+C35+C34</f>
        <v>14533000</v>
      </c>
      <c r="D38" s="266">
        <f>D9+D17+D19+D20+D21+D22+D25+D33+D37+D35+D34</f>
        <v>1210500</v>
      </c>
      <c r="E38" s="266">
        <f>E9+E17+E19+E20+E21+E22+E25+E33+E37+E35+E34</f>
        <v>19092699</v>
      </c>
      <c r="F38" s="266">
        <f>F9+F17+F19+F20+F21+F22+F25+F33+F37+F35+F34</f>
        <v>1111146</v>
      </c>
      <c r="G38" s="151">
        <f t="shared" si="1"/>
        <v>131.37479529347004</v>
      </c>
      <c r="H38" s="151">
        <f>F38/D38%</f>
        <v>91.792317224287487</v>
      </c>
      <c r="I38" s="266">
        <f>I9+I17+I19+I20+I21+I22+I25+I33+I37+I35+I34</f>
        <v>15781000</v>
      </c>
      <c r="J38" s="266">
        <f>J9+J17+J19+J20+J21+J22+J25+J33+J37+J35+J34</f>
        <v>1641500</v>
      </c>
      <c r="K38" s="266">
        <f>K9+K17+K19+K20+K21+K22+K25+K33+K37+K35+K34</f>
        <v>12768978</v>
      </c>
      <c r="L38" s="266">
        <f>L9+L17+L19+L20+L21+L22+L25+L33+L37+L35+L34</f>
        <v>1278679</v>
      </c>
      <c r="M38" s="151">
        <f t="shared" si="4"/>
        <v>80.913617641467582</v>
      </c>
      <c r="N38" s="151">
        <f>L38/J38%</f>
        <v>77.896984465427963</v>
      </c>
      <c r="O38" s="266">
        <f t="shared" ref="O38:AG38" si="38">O9+O17+O19+O20+O21+O22+O25+O33+O37+O35+O34</f>
        <v>6278000</v>
      </c>
      <c r="P38" s="266">
        <f t="shared" si="38"/>
        <v>928000</v>
      </c>
      <c r="Q38" s="266">
        <f>Q9+Q17+Q19+Q20+Q21+Q22+Q25+Q33+Q37+Q35+Q34</f>
        <v>10576569</v>
      </c>
      <c r="R38" s="266">
        <f t="shared" si="38"/>
        <v>444108</v>
      </c>
      <c r="S38" s="151">
        <f t="shared" ref="S38" si="39">Q38/O38%</f>
        <v>168.47035680152914</v>
      </c>
      <c r="T38" s="151">
        <f>R38/P38%</f>
        <v>47.856465517241382</v>
      </c>
      <c r="U38" s="266">
        <f t="shared" si="38"/>
        <v>6291000</v>
      </c>
      <c r="V38" s="266">
        <f>V9+V17+V19+V20+V21+V22+V25+V33+V37+V35+V34</f>
        <v>674000</v>
      </c>
      <c r="W38" s="266">
        <f>W9+W17+W19+W20+W21+W22+W25+W33+W37+W35+W34</f>
        <v>2605746</v>
      </c>
      <c r="X38" s="266">
        <f t="shared" ref="X38" si="40">X9+X17+X19+X20+X21+X22+X25+X33+X37+X35+X34</f>
        <v>311406</v>
      </c>
      <c r="Y38" s="151">
        <f t="shared" ref="Y38" si="41">W38/U38%</f>
        <v>41.420219360991894</v>
      </c>
      <c r="Z38" s="151">
        <f>X38/V38%</f>
        <v>46.202670623145401</v>
      </c>
      <c r="AA38" s="266">
        <f t="shared" si="38"/>
        <v>5503000</v>
      </c>
      <c r="AB38" s="266">
        <f t="shared" si="38"/>
        <v>701000</v>
      </c>
      <c r="AC38" s="266">
        <f t="shared" si="38"/>
        <v>5300776</v>
      </c>
      <c r="AD38" s="266">
        <f t="shared" si="38"/>
        <v>355970</v>
      </c>
      <c r="AE38" s="151">
        <f t="shared" ref="AE38" si="42">AC38/AA38%</f>
        <v>96.325204433945117</v>
      </c>
      <c r="AF38" s="151">
        <f>AD38/AB38%</f>
        <v>50.780313837375175</v>
      </c>
      <c r="AG38" s="266">
        <f t="shared" si="38"/>
        <v>2821000</v>
      </c>
      <c r="AH38" s="266">
        <f>AH9+AH17+AH19+AH20+AH21+AH22+AH25+AH33</f>
        <v>2144000</v>
      </c>
      <c r="AI38" s="266">
        <f t="shared" ref="AI38:AJ38" si="43">AI9+AI17+AI19+AI20+AI21+AI22+AI25+AI33</f>
        <v>3167487</v>
      </c>
      <c r="AJ38" s="266">
        <f t="shared" si="43"/>
        <v>2537553</v>
      </c>
      <c r="AK38" s="151">
        <f t="shared" ref="AK38" si="44">AI38/AG38%</f>
        <v>112.28241758241758</v>
      </c>
      <c r="AL38" s="151">
        <f>AJ38/AH38%</f>
        <v>118.35601679104478</v>
      </c>
      <c r="AM38" s="293">
        <f t="shared" si="14"/>
        <v>51207000</v>
      </c>
      <c r="AN38" s="266">
        <f>AN9+AN17+AN18+AN19+AN22+AN25+AN33</f>
        <v>7299000</v>
      </c>
      <c r="AO38" s="151">
        <f t="shared" si="15"/>
        <v>53512255</v>
      </c>
      <c r="AP38" s="151">
        <f t="shared" si="16"/>
        <v>6038862</v>
      </c>
      <c r="AQ38" s="151">
        <f t="shared" ref="AQ38" si="45">AO38/AM38%</f>
        <v>104.50183568652723</v>
      </c>
      <c r="AR38" s="151">
        <f>AP38/AN38%</f>
        <v>82.735470612412655</v>
      </c>
    </row>
    <row r="39" spans="1:44" s="48" customFormat="1">
      <c r="A39" s="252"/>
      <c r="B39" s="252"/>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row>
    <row r="40" spans="1:44" s="48" customFormat="1">
      <c r="A40" s="252"/>
      <c r="B40" s="252"/>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row>
    <row r="41" spans="1:44" s="155" customFormat="1">
      <c r="A41" s="154"/>
      <c r="C41" s="418"/>
      <c r="D41" s="418"/>
      <c r="E41" s="418"/>
      <c r="AA41" s="362"/>
      <c r="AB41" s="1100"/>
      <c r="AC41" s="1100"/>
      <c r="AD41" s="1100"/>
      <c r="AE41" s="1100"/>
      <c r="AF41" s="1100"/>
      <c r="AG41" s="1100"/>
      <c r="AH41" s="1100"/>
      <c r="AI41" s="1100"/>
      <c r="AJ41" s="1100"/>
      <c r="AK41" s="1100"/>
      <c r="AL41" s="1100"/>
      <c r="AM41" s="1100"/>
      <c r="AN41" s="1100"/>
    </row>
    <row r="42" spans="1:44" s="156" customFormat="1" ht="14.25">
      <c r="A42" s="402"/>
      <c r="B42" s="377"/>
      <c r="C42" s="1101"/>
      <c r="D42" s="1101"/>
      <c r="E42" s="402"/>
      <c r="F42" s="402"/>
      <c r="G42" s="402"/>
      <c r="H42" s="402"/>
      <c r="I42" s="74"/>
      <c r="AA42" s="1101"/>
      <c r="AB42" s="1101"/>
      <c r="AC42" s="1101"/>
      <c r="AD42" s="1101"/>
      <c r="AE42" s="1101"/>
      <c r="AF42" s="1101"/>
      <c r="AG42" s="1101"/>
      <c r="AH42" s="1101"/>
      <c r="AI42" s="1101"/>
      <c r="AJ42" s="1101"/>
      <c r="AK42" s="1101"/>
      <c r="AL42" s="1101"/>
      <c r="AM42" s="1101"/>
      <c r="AN42" s="1101"/>
    </row>
    <row r="43" spans="1:44" s="155" customFormat="1">
      <c r="A43" s="154"/>
      <c r="B43" s="60"/>
      <c r="AA43" s="157"/>
      <c r="AB43" s="157"/>
      <c r="AC43" s="157"/>
      <c r="AD43" s="157"/>
      <c r="AE43" s="157"/>
      <c r="AF43" s="157"/>
      <c r="AG43" s="157"/>
      <c r="AH43" s="157"/>
      <c r="AI43" s="157"/>
      <c r="AJ43" s="157"/>
      <c r="AK43" s="157"/>
      <c r="AL43" s="157"/>
      <c r="AM43" s="157"/>
    </row>
    <row r="44" spans="1:44" s="155" customFormat="1">
      <c r="A44" s="154"/>
      <c r="B44" s="60"/>
      <c r="AA44" s="157"/>
      <c r="AB44" s="157"/>
      <c r="AC44" s="157"/>
      <c r="AD44" s="157"/>
      <c r="AE44" s="157"/>
      <c r="AF44" s="157"/>
      <c r="AG44" s="157"/>
      <c r="AH44" s="157"/>
      <c r="AI44" s="157"/>
      <c r="AJ44" s="157"/>
      <c r="AK44" s="157"/>
      <c r="AL44" s="157"/>
      <c r="AM44" s="157"/>
    </row>
    <row r="45" spans="1:44" s="155" customFormat="1">
      <c r="A45" s="154"/>
      <c r="B45" s="60"/>
      <c r="AA45" s="157"/>
      <c r="AB45" s="157"/>
      <c r="AC45" s="157"/>
      <c r="AD45" s="157"/>
      <c r="AE45" s="157"/>
      <c r="AF45" s="157"/>
      <c r="AG45" s="157"/>
      <c r="AH45" s="157"/>
      <c r="AI45" s="157"/>
      <c r="AJ45" s="157"/>
      <c r="AK45" s="157"/>
      <c r="AL45" s="157"/>
      <c r="AM45" s="157"/>
    </row>
    <row r="46" spans="1:44" s="155" customFormat="1">
      <c r="A46" s="154"/>
      <c r="B46" s="60"/>
      <c r="AA46" s="157"/>
      <c r="AB46" s="157"/>
      <c r="AC46" s="157"/>
      <c r="AD46" s="157"/>
      <c r="AE46" s="157"/>
      <c r="AF46" s="157"/>
      <c r="AG46" s="157"/>
      <c r="AH46" s="157"/>
      <c r="AI46" s="157"/>
      <c r="AJ46" s="157"/>
      <c r="AK46" s="157"/>
      <c r="AL46" s="157"/>
      <c r="AM46" s="157"/>
    </row>
    <row r="47" spans="1:44" s="155" customFormat="1">
      <c r="A47" s="154"/>
      <c r="B47" s="378"/>
      <c r="C47" s="1101"/>
      <c r="D47" s="1101"/>
      <c r="E47" s="402"/>
      <c r="F47" s="402"/>
      <c r="G47" s="402"/>
      <c r="H47" s="402"/>
      <c r="AA47" s="377"/>
      <c r="AB47" s="1104"/>
      <c r="AC47" s="1104"/>
      <c r="AD47" s="1104"/>
      <c r="AE47" s="1104"/>
      <c r="AF47" s="1104"/>
      <c r="AG47" s="1104"/>
      <c r="AH47" s="1104"/>
      <c r="AI47" s="1104"/>
      <c r="AJ47" s="1104"/>
      <c r="AK47" s="1104"/>
      <c r="AL47" s="1104"/>
      <c r="AM47" s="1104"/>
      <c r="AN47" s="1104"/>
    </row>
    <row r="48" spans="1:44" s="155" customFormat="1" ht="14.25">
      <c r="A48" s="154"/>
    </row>
    <row r="49" spans="1:15" s="155" customFormat="1" ht="14.25">
      <c r="A49" s="154"/>
    </row>
    <row r="50" spans="1:15" s="155" customFormat="1" ht="14.25">
      <c r="A50" s="154"/>
      <c r="C50" s="392"/>
    </row>
    <row r="56" spans="1:15">
      <c r="C56" s="60"/>
      <c r="D56" s="60"/>
      <c r="E56" s="60"/>
      <c r="F56" s="60"/>
      <c r="G56" s="60"/>
      <c r="H56" s="60"/>
      <c r="I56" s="155"/>
      <c r="J56" s="155"/>
      <c r="K56" s="155"/>
      <c r="L56" s="155"/>
      <c r="M56" s="155"/>
      <c r="N56" s="155"/>
      <c r="O56" s="155"/>
    </row>
    <row r="57" spans="1:15">
      <c r="C57" s="60"/>
      <c r="D57" s="60"/>
      <c r="E57" s="60"/>
      <c r="F57" s="60"/>
      <c r="G57" s="60"/>
      <c r="H57" s="60"/>
      <c r="I57" s="155"/>
      <c r="J57" s="155"/>
      <c r="K57" s="155"/>
      <c r="L57" s="155"/>
      <c r="M57" s="155"/>
      <c r="N57" s="155"/>
      <c r="O57" s="155"/>
    </row>
    <row r="58" spans="1:15">
      <c r="C58" s="60"/>
      <c r="D58" s="60"/>
      <c r="E58" s="60"/>
      <c r="F58" s="60"/>
      <c r="G58" s="60"/>
      <c r="H58" s="60"/>
      <c r="I58" s="60"/>
      <c r="J58" s="155"/>
      <c r="K58" s="155"/>
      <c r="L58" s="155"/>
      <c r="M58" s="155"/>
      <c r="N58" s="155"/>
      <c r="O58" s="60"/>
    </row>
  </sheetData>
  <mergeCells count="38">
    <mergeCell ref="C47:D47"/>
    <mergeCell ref="AB47:AN47"/>
    <mergeCell ref="A4:AR4"/>
    <mergeCell ref="AK7:AL7"/>
    <mergeCell ref="AM7:AN7"/>
    <mergeCell ref="AO7:AP7"/>
    <mergeCell ref="AQ7:AR7"/>
    <mergeCell ref="AM6:AR6"/>
    <mergeCell ref="AC7:AD7"/>
    <mergeCell ref="AE7:AF7"/>
    <mergeCell ref="AA6:AF6"/>
    <mergeCell ref="AG7:AH7"/>
    <mergeCell ref="AI7:AJ7"/>
    <mergeCell ref="U7:V7"/>
    <mergeCell ref="W7:X7"/>
    <mergeCell ref="C6:H6"/>
    <mergeCell ref="A6:A8"/>
    <mergeCell ref="B6:B8"/>
    <mergeCell ref="AB41:AN41"/>
    <mergeCell ref="C42:D42"/>
    <mergeCell ref="AA42:AN42"/>
    <mergeCell ref="AG6:AH6"/>
    <mergeCell ref="AA7:AB7"/>
    <mergeCell ref="D1:AG1"/>
    <mergeCell ref="AG5:AN5"/>
    <mergeCell ref="K7:L7"/>
    <mergeCell ref="M7:N7"/>
    <mergeCell ref="I6:N6"/>
    <mergeCell ref="O6:T6"/>
    <mergeCell ref="O7:P7"/>
    <mergeCell ref="Q7:R7"/>
    <mergeCell ref="S7:T7"/>
    <mergeCell ref="C7:D7"/>
    <mergeCell ref="E7:F7"/>
    <mergeCell ref="G7:H7"/>
    <mergeCell ref="I7:J7"/>
    <mergeCell ref="U6:Z6"/>
    <mergeCell ref="Y7:Z7"/>
  </mergeCells>
  <pageMargins left="0.2" right="0.2" top="0.25" bottom="0.25" header="0.3" footer="0.3"/>
  <pageSetup paperSize="9" scale="43" orientation="landscape" verticalDpi="0" r:id="rId1"/>
</worksheet>
</file>

<file path=xl/worksheets/sheet15.xml><?xml version="1.0" encoding="utf-8"?>
<worksheet xmlns="http://schemas.openxmlformats.org/spreadsheetml/2006/main" xmlns:r="http://schemas.openxmlformats.org/officeDocument/2006/relationships">
  <sheetPr>
    <tabColor rgb="FF0070C0"/>
  </sheetPr>
  <dimension ref="A1:AB144"/>
  <sheetViews>
    <sheetView topLeftCell="C52" workbookViewId="0">
      <selection activeCell="T67" sqref="T67"/>
    </sheetView>
  </sheetViews>
  <sheetFormatPr defaultRowHeight="12.75"/>
  <cols>
    <col min="1" max="1" width="4.75" style="68" customWidth="1"/>
    <col min="2" max="2" width="32.25" style="49" customWidth="1"/>
    <col min="3" max="3" width="5.5" style="49" customWidth="1"/>
    <col min="4" max="4" width="5.875" style="49" customWidth="1"/>
    <col min="5" max="5" width="9" style="49"/>
    <col min="6" max="6" width="5.625" style="49" customWidth="1"/>
    <col min="7" max="7" width="5.25" style="49" customWidth="1"/>
    <col min="8" max="8" width="9" style="49"/>
    <col min="9" max="9" width="6.375" style="49" customWidth="1"/>
    <col min="10" max="10" width="6.125" style="49" customWidth="1"/>
    <col min="11" max="11" width="9" style="49"/>
    <col min="12" max="12" width="6.5" style="49" customWidth="1"/>
    <col min="13" max="13" width="6.75" style="49" customWidth="1"/>
    <col min="14" max="14" width="9" style="49"/>
    <col min="15" max="15" width="6.125" style="49" customWidth="1"/>
    <col min="16" max="16" width="6.5" style="49" customWidth="1"/>
    <col min="17" max="17" width="9" style="49"/>
    <col min="18" max="18" width="5.25" style="49" customWidth="1"/>
    <col min="19" max="19" width="7.625" style="49" customWidth="1"/>
    <col min="20" max="16384" width="9" style="49"/>
  </cols>
  <sheetData>
    <row r="1" spans="1:22" s="46" customFormat="1" ht="16.5">
      <c r="A1" s="906" t="s">
        <v>1610</v>
      </c>
      <c r="B1" s="63"/>
      <c r="C1" s="62"/>
      <c r="D1" s="62"/>
      <c r="E1" s="62"/>
      <c r="F1" s="62"/>
      <c r="G1" s="62"/>
      <c r="H1" s="62"/>
      <c r="I1" s="62"/>
      <c r="J1" s="62"/>
      <c r="K1" s="62"/>
      <c r="L1" s="62"/>
      <c r="M1" s="62"/>
      <c r="N1" s="62"/>
      <c r="O1" s="62"/>
      <c r="P1" s="62"/>
      <c r="Q1" s="62"/>
      <c r="R1" s="45"/>
      <c r="S1" s="45"/>
      <c r="T1" s="45"/>
    </row>
    <row r="2" spans="1:22" s="48" customFormat="1" ht="16.5">
      <c r="A2" s="906"/>
      <c r="B2" s="63"/>
      <c r="C2" s="64"/>
      <c r="D2" s="64"/>
      <c r="E2" s="64"/>
      <c r="F2" s="64"/>
      <c r="G2" s="64"/>
      <c r="H2" s="64"/>
      <c r="I2" s="64"/>
      <c r="J2" s="64"/>
      <c r="K2" s="64"/>
      <c r="L2" s="64"/>
      <c r="M2" s="64"/>
      <c r="N2" s="64"/>
      <c r="O2" s="64"/>
      <c r="P2" s="64"/>
      <c r="Q2" s="64"/>
      <c r="R2" s="47"/>
      <c r="S2" s="47"/>
      <c r="T2" s="47"/>
    </row>
    <row r="3" spans="1:22" s="80" customFormat="1" ht="15">
      <c r="A3" s="1113" t="s">
        <v>1611</v>
      </c>
      <c r="B3" s="1113"/>
      <c r="C3" s="1113"/>
      <c r="D3" s="1113"/>
      <c r="E3" s="1113"/>
      <c r="F3" s="1113"/>
      <c r="G3" s="1113"/>
      <c r="H3" s="1113"/>
      <c r="I3" s="1113"/>
      <c r="J3" s="1113"/>
      <c r="K3" s="1113"/>
      <c r="L3" s="1113"/>
      <c r="M3" s="1113"/>
      <c r="N3" s="1113"/>
      <c r="O3" s="1113"/>
      <c r="P3" s="1113"/>
      <c r="Q3" s="1113"/>
      <c r="R3" s="1113"/>
      <c r="S3" s="1113"/>
      <c r="T3" s="1113"/>
      <c r="U3" s="1113"/>
    </row>
    <row r="4" spans="1:22" s="80" customFormat="1" ht="17.25">
      <c r="A4" s="901"/>
      <c r="B4" s="901"/>
      <c r="C4" s="901"/>
      <c r="D4" s="1114"/>
      <c r="E4" s="1114"/>
      <c r="F4" s="901"/>
      <c r="G4" s="901"/>
      <c r="Q4" s="1115" t="s">
        <v>605</v>
      </c>
      <c r="R4" s="1115"/>
      <c r="S4" s="1115"/>
      <c r="T4" s="1115"/>
      <c r="U4" s="1115"/>
    </row>
    <row r="5" spans="1:22" s="66" customFormat="1" ht="12.75" customHeight="1">
      <c r="A5" s="1116" t="s">
        <v>76</v>
      </c>
      <c r="B5" s="1118" t="s">
        <v>651</v>
      </c>
      <c r="C5" s="1109" t="s">
        <v>652</v>
      </c>
      <c r="D5" s="1110"/>
      <c r="E5" s="1110"/>
      <c r="F5" s="1109" t="s">
        <v>653</v>
      </c>
      <c r="G5" s="1110"/>
      <c r="H5" s="1110"/>
      <c r="I5" s="1109" t="s">
        <v>654</v>
      </c>
      <c r="J5" s="1110"/>
      <c r="K5" s="1110"/>
      <c r="L5" s="1109" t="s">
        <v>1153</v>
      </c>
      <c r="M5" s="1110"/>
      <c r="N5" s="1110"/>
      <c r="O5" s="1109" t="s">
        <v>655</v>
      </c>
      <c r="P5" s="1110"/>
      <c r="Q5" s="1110"/>
      <c r="R5" s="1109" t="s">
        <v>632</v>
      </c>
      <c r="S5" s="1110"/>
      <c r="T5" s="1110"/>
      <c r="U5" s="1111" t="s">
        <v>86</v>
      </c>
    </row>
    <row r="6" spans="1:22" s="67" customFormat="1" ht="25.5">
      <c r="A6" s="1117"/>
      <c r="B6" s="1119"/>
      <c r="C6" s="913" t="s">
        <v>374</v>
      </c>
      <c r="D6" s="278" t="s">
        <v>375</v>
      </c>
      <c r="E6" s="913" t="s">
        <v>1612</v>
      </c>
      <c r="F6" s="913" t="s">
        <v>374</v>
      </c>
      <c r="G6" s="278" t="s">
        <v>375</v>
      </c>
      <c r="H6" s="913" t="s">
        <v>1612</v>
      </c>
      <c r="I6" s="913" t="s">
        <v>374</v>
      </c>
      <c r="J6" s="278" t="s">
        <v>375</v>
      </c>
      <c r="K6" s="913" t="s">
        <v>1612</v>
      </c>
      <c r="L6" s="913" t="s">
        <v>374</v>
      </c>
      <c r="M6" s="278" t="s">
        <v>375</v>
      </c>
      <c r="N6" s="913" t="s">
        <v>1612</v>
      </c>
      <c r="O6" s="913" t="s">
        <v>374</v>
      </c>
      <c r="P6" s="278" t="s">
        <v>375</v>
      </c>
      <c r="Q6" s="913" t="s">
        <v>1612</v>
      </c>
      <c r="R6" s="913" t="s">
        <v>374</v>
      </c>
      <c r="S6" s="278" t="s">
        <v>375</v>
      </c>
      <c r="T6" s="913" t="s">
        <v>1612</v>
      </c>
      <c r="U6" s="1112"/>
    </row>
    <row r="7" spans="1:22" ht="14.25">
      <c r="A7" s="279">
        <v>1</v>
      </c>
      <c r="B7" s="280" t="s">
        <v>321</v>
      </c>
      <c r="C7" s="281"/>
      <c r="D7" s="281"/>
      <c r="E7" s="281"/>
      <c r="F7" s="281"/>
      <c r="G7" s="281"/>
      <c r="H7" s="281"/>
      <c r="I7" s="281"/>
      <c r="J7" s="281"/>
      <c r="K7" s="281"/>
      <c r="L7" s="281"/>
      <c r="M7" s="281"/>
      <c r="N7" s="281"/>
      <c r="O7" s="281"/>
      <c r="P7" s="281"/>
      <c r="Q7" s="281"/>
      <c r="R7" s="281"/>
      <c r="S7" s="281"/>
      <c r="T7" s="281"/>
      <c r="U7" s="281"/>
      <c r="V7" s="282"/>
    </row>
    <row r="8" spans="1:22" s="50" customFormat="1" ht="18" customHeight="1">
      <c r="A8" s="105">
        <v>2</v>
      </c>
      <c r="B8" s="106" t="s">
        <v>376</v>
      </c>
      <c r="C8" s="869"/>
      <c r="D8" s="869"/>
      <c r="E8" s="869">
        <f>E9+E14+E13</f>
        <v>3502381.835</v>
      </c>
      <c r="F8" s="869"/>
      <c r="G8" s="869">
        <f t="shared" ref="G8:U8" si="0">G9+G14+G13</f>
        <v>0</v>
      </c>
      <c r="H8" s="869">
        <f t="shared" si="0"/>
        <v>3407304.5425</v>
      </c>
      <c r="I8" s="869"/>
      <c r="J8" s="869">
        <f t="shared" si="0"/>
        <v>0</v>
      </c>
      <c r="K8" s="869">
        <f t="shared" si="0"/>
        <v>3504456.9645000002</v>
      </c>
      <c r="L8" s="869"/>
      <c r="M8" s="869">
        <f t="shared" si="0"/>
        <v>0</v>
      </c>
      <c r="N8" s="869">
        <f>N9+N14+N13</f>
        <v>3564804.929</v>
      </c>
      <c r="O8" s="869"/>
      <c r="P8" s="869">
        <f t="shared" si="0"/>
        <v>0</v>
      </c>
      <c r="Q8" s="869">
        <f t="shared" si="0"/>
        <v>3452542.0825</v>
      </c>
      <c r="R8" s="869"/>
      <c r="S8" s="869">
        <f t="shared" si="0"/>
        <v>0</v>
      </c>
      <c r="T8" s="869">
        <f t="shared" si="0"/>
        <v>3353931.6920000007</v>
      </c>
      <c r="U8" s="869">
        <f t="shared" si="0"/>
        <v>20785422.045499999</v>
      </c>
    </row>
    <row r="9" spans="1:22" ht="18" customHeight="1">
      <c r="A9" s="109" t="s">
        <v>548</v>
      </c>
      <c r="B9" s="110" t="s">
        <v>377</v>
      </c>
      <c r="C9" s="870">
        <v>19</v>
      </c>
      <c r="D9" s="870"/>
      <c r="E9" s="870">
        <f>SUM(E10:E12)</f>
        <v>1640105.5799999996</v>
      </c>
      <c r="F9" s="870">
        <v>19</v>
      </c>
      <c r="G9" s="870"/>
      <c r="H9" s="870">
        <f>SUM(H10:H12)</f>
        <v>1661262.09</v>
      </c>
      <c r="I9" s="870">
        <f>20+1</f>
        <v>21</v>
      </c>
      <c r="J9" s="870"/>
      <c r="K9" s="870">
        <f>SUM(K10:K12)</f>
        <v>1829194.6259999999</v>
      </c>
      <c r="L9" s="870">
        <v>19</v>
      </c>
      <c r="M9" s="870"/>
      <c r="N9" s="870">
        <f>SUM(N10:N12)</f>
        <v>1687655.6519999998</v>
      </c>
      <c r="O9" s="870">
        <v>19</v>
      </c>
      <c r="P9" s="870"/>
      <c r="Q9" s="870">
        <f>SUM(Q10:Q12)</f>
        <v>1720158.81</v>
      </c>
      <c r="R9" s="870">
        <v>20</v>
      </c>
      <c r="S9" s="870"/>
      <c r="T9" s="870">
        <f>SUM(T10:T12)</f>
        <v>1565022.0960000004</v>
      </c>
      <c r="U9" s="870">
        <f>SUM(U10:U12)</f>
        <v>10103398.854</v>
      </c>
      <c r="V9" s="50"/>
    </row>
    <row r="10" spans="1:22" s="51" customFormat="1" ht="18" customHeight="1">
      <c r="A10" s="111" t="s">
        <v>549</v>
      </c>
      <c r="B10" s="283" t="s">
        <v>378</v>
      </c>
      <c r="C10" s="871"/>
      <c r="D10" s="871">
        <f>(55.41+1.65+1.5+0.86+1.9+0.1+3+0.2)</f>
        <v>64.61999999999999</v>
      </c>
      <c r="E10" s="872">
        <f>D10*1490*12</f>
        <v>1155405.5999999999</v>
      </c>
      <c r="F10" s="872"/>
      <c r="G10" s="871">
        <f>(57.98+1.85+1.55+0.71+1.9+0.5)</f>
        <v>64.489999999999995</v>
      </c>
      <c r="H10" s="872">
        <f>G10*1490*12</f>
        <v>1153081.2</v>
      </c>
      <c r="I10" s="872"/>
      <c r="J10" s="871">
        <f>62.34+1.6+1.53+0.86+2+0.2+2.67+0.1</f>
        <v>71.3</v>
      </c>
      <c r="K10" s="872">
        <f>J10*1490*12</f>
        <v>1274844</v>
      </c>
      <c r="L10" s="872"/>
      <c r="M10" s="871">
        <f>58.76+0.244+2+1.647+0.66+1.9+0.2</f>
        <v>65.411000000000001</v>
      </c>
      <c r="N10" s="872">
        <f>M10*1490*12</f>
        <v>1169548.68</v>
      </c>
      <c r="O10" s="872"/>
      <c r="P10" s="873">
        <f>(60.22+1.85+1.64+0.91+1.9+0.2)</f>
        <v>66.720000000000013</v>
      </c>
      <c r="Q10" s="872">
        <f>P10*1490*12</f>
        <v>1192953.6000000001</v>
      </c>
      <c r="R10" s="872"/>
      <c r="S10" s="871">
        <f>54.63+2+0.73+0.2+2.67</f>
        <v>60.230000000000004</v>
      </c>
      <c r="T10" s="872">
        <f>S10*1490*12</f>
        <v>1076912.4000000001</v>
      </c>
      <c r="U10" s="870">
        <f>SUM(E10+H10+K10+N10+Q10+T10)</f>
        <v>7022745.4800000004</v>
      </c>
      <c r="V10" s="50"/>
    </row>
    <row r="11" spans="1:22" s="51" customFormat="1" ht="18" customHeight="1">
      <c r="A11" s="111" t="s">
        <v>550</v>
      </c>
      <c r="B11" s="283" t="s">
        <v>379</v>
      </c>
      <c r="C11" s="872"/>
      <c r="D11" s="871">
        <f>(55.41+1.65)*22.5%</f>
        <v>12.8385</v>
      </c>
      <c r="E11" s="872">
        <f>D11*1490*12</f>
        <v>229552.37999999998</v>
      </c>
      <c r="F11" s="872"/>
      <c r="G11" s="871">
        <f>(57.98+1.85)*22.5%</f>
        <v>13.46175</v>
      </c>
      <c r="H11" s="872">
        <f>G11*1490*12</f>
        <v>240696.09</v>
      </c>
      <c r="I11" s="872"/>
      <c r="J11" s="871">
        <f>(62.34+1.6)*22.5%+2.67*23.5%</f>
        <v>15.013950000000001</v>
      </c>
      <c r="K11" s="872">
        <f>J11*1490*12</f>
        <v>268449.42600000004</v>
      </c>
      <c r="L11" s="872"/>
      <c r="M11" s="871">
        <f>(58.76+0.244+2)*22.5%</f>
        <v>13.725899999999999</v>
      </c>
      <c r="N11" s="872">
        <f>M11*1490*12</f>
        <v>245419.092</v>
      </c>
      <c r="O11" s="872"/>
      <c r="P11" s="873">
        <f>(60.22+1.85)*22.5%</f>
        <v>13.96575</v>
      </c>
      <c r="Q11" s="872">
        <f>P11*1490*12</f>
        <v>249707.61</v>
      </c>
      <c r="R11" s="872"/>
      <c r="S11" s="871">
        <f>(54.63+2)*22.5%+2.67*23.5%</f>
        <v>13.369200000000001</v>
      </c>
      <c r="T11" s="872">
        <f>S11*1490*12</f>
        <v>239041.296</v>
      </c>
      <c r="U11" s="870">
        <f>SUM(E11+H11+K11+N11+Q11+T11)</f>
        <v>1472865.8939999999</v>
      </c>
      <c r="V11" s="50"/>
    </row>
    <row r="12" spans="1:22" s="51" customFormat="1" ht="18" customHeight="1">
      <c r="A12" s="111"/>
      <c r="B12" s="283" t="s">
        <v>208</v>
      </c>
      <c r="C12" s="872"/>
      <c r="D12" s="873">
        <v>14.27</v>
      </c>
      <c r="E12" s="872">
        <f>D12*1490*12</f>
        <v>255147.59999999998</v>
      </c>
      <c r="F12" s="872"/>
      <c r="G12" s="871">
        <v>14.96</v>
      </c>
      <c r="H12" s="872">
        <f>G12*1490*12</f>
        <v>267484.80000000005</v>
      </c>
      <c r="I12" s="872"/>
      <c r="J12" s="874">
        <v>15.99</v>
      </c>
      <c r="K12" s="872">
        <f>J12*1490*12</f>
        <v>285901.19999999995</v>
      </c>
      <c r="L12" s="872"/>
      <c r="M12" s="871">
        <v>15.250999999999999</v>
      </c>
      <c r="N12" s="872">
        <f>M12*1490*12</f>
        <v>272687.88</v>
      </c>
      <c r="O12" s="872"/>
      <c r="P12" s="871">
        <v>15.52</v>
      </c>
      <c r="Q12" s="872">
        <f>P12*1490*12</f>
        <v>277497.59999999998</v>
      </c>
      <c r="R12" s="872"/>
      <c r="S12" s="874">
        <v>13.93</v>
      </c>
      <c r="T12" s="872">
        <f>S12*1490*12</f>
        <v>249068.40000000002</v>
      </c>
      <c r="U12" s="870">
        <f>SUM(E12+H12+K12+N12+Q12+T12)</f>
        <v>1607787.48</v>
      </c>
      <c r="V12" s="50"/>
    </row>
    <row r="13" spans="1:22" ht="18" customHeight="1">
      <c r="A13" s="109" t="s">
        <v>548</v>
      </c>
      <c r="B13" s="110" t="s">
        <v>765</v>
      </c>
      <c r="C13" s="870"/>
      <c r="D13" s="870"/>
      <c r="E13" s="870">
        <f>(D10+D12+D11)*1210*12*20/80</f>
        <v>332974.45499999996</v>
      </c>
      <c r="F13" s="870"/>
      <c r="G13" s="870">
        <f>((F10+F11+F12)*1050*25*12)/75</f>
        <v>0</v>
      </c>
      <c r="H13" s="870">
        <f>(G10+G12+G11)*1210*12*20/80</f>
        <v>337269.65249999997</v>
      </c>
      <c r="I13" s="870"/>
      <c r="J13" s="870"/>
      <c r="K13" s="870">
        <f>(J10+J12+J11)*1210*12*20/80</f>
        <v>371363.33849999995</v>
      </c>
      <c r="L13" s="870"/>
      <c r="M13" s="870"/>
      <c r="N13" s="870">
        <f>(M10+M12+M11)*1210*12*20/80</f>
        <v>342628.07699999999</v>
      </c>
      <c r="O13" s="870"/>
      <c r="P13" s="870"/>
      <c r="Q13" s="870">
        <f>(P10+P12+P11)*1210*12*20/80</f>
        <v>349226.8725</v>
      </c>
      <c r="R13" s="870"/>
      <c r="S13" s="870"/>
      <c r="T13" s="870">
        <f>(S10+S12+S11)*1210*12*20/80</f>
        <v>317730.99600000004</v>
      </c>
      <c r="U13" s="870">
        <f>SUM(E13+H13+K13+N13+Q13+T13)</f>
        <v>2051193.3914999999</v>
      </c>
      <c r="V13" s="50"/>
    </row>
    <row r="14" spans="1:22" s="50" customFormat="1" ht="18" customHeight="1">
      <c r="A14" s="105" t="s">
        <v>552</v>
      </c>
      <c r="B14" s="106" t="s">
        <v>380</v>
      </c>
      <c r="C14" s="869"/>
      <c r="D14" s="869"/>
      <c r="E14" s="869">
        <f>E15+E16+E17+E18+E19+E20+E21+E22+E23+E26+E29+E30+E31+E32+E33+E34</f>
        <v>1529301.8</v>
      </c>
      <c r="F14" s="869"/>
      <c r="G14" s="869"/>
      <c r="H14" s="869">
        <f>H15+H16+H17+H18+H19+H20+H21+H22+H23+H26+H29+H30+H31+H32+H33+H34</f>
        <v>1408772.8</v>
      </c>
      <c r="I14" s="869"/>
      <c r="J14" s="869"/>
      <c r="K14" s="869">
        <f>K15+K16+K17+K18+K19+K20+K21+K22+K23+K26+K29+K30+K31+K32+K33+K34</f>
        <v>1303899.0000000002</v>
      </c>
      <c r="L14" s="869"/>
      <c r="M14" s="869"/>
      <c r="N14" s="869">
        <f>N15+N16+N17+N18+N19+N20+N21+N22+N23+N26+N29+N30+N31+N32+N33+N34</f>
        <v>1534521.2</v>
      </c>
      <c r="O14" s="869"/>
      <c r="P14" s="869"/>
      <c r="Q14" s="869">
        <f>Q15+Q16+Q17+Q18+Q19+Q20+Q21+Q22+Q23+Q26+Q29+Q30+Q31+Q32+Q33+Q34</f>
        <v>1383156.4</v>
      </c>
      <c r="R14" s="869"/>
      <c r="S14" s="869"/>
      <c r="T14" s="869">
        <f>T15+T16+T17+T18+T19+T20+T21+T22+T23+T26+T29+T30+T31+T32+T33+T34</f>
        <v>1471178.6</v>
      </c>
      <c r="U14" s="869">
        <f>U15+U16+U17+U18+U19+U20+U21+U22+U23+U26+U29+U30+U31+U32+U33+U34</f>
        <v>8630829.8000000007</v>
      </c>
    </row>
    <row r="15" spans="1:22" ht="18" customHeight="1">
      <c r="A15" s="109" t="s">
        <v>549</v>
      </c>
      <c r="B15" s="110" t="s">
        <v>381</v>
      </c>
      <c r="C15" s="870">
        <v>22</v>
      </c>
      <c r="D15" s="875">
        <v>0.3</v>
      </c>
      <c r="E15" s="870">
        <f>C15*D15*1490*12</f>
        <v>118008</v>
      </c>
      <c r="F15" s="870">
        <v>24</v>
      </c>
      <c r="G15" s="875">
        <v>0.3</v>
      </c>
      <c r="H15" s="870">
        <f>F15*G15*12*1490</f>
        <v>128735.99999999999</v>
      </c>
      <c r="I15" s="870">
        <v>22</v>
      </c>
      <c r="J15" s="875">
        <v>0.3</v>
      </c>
      <c r="K15" s="870">
        <f>I15*J15*12*1490</f>
        <v>118007.99999999999</v>
      </c>
      <c r="L15" s="870">
        <v>23</v>
      </c>
      <c r="M15" s="875">
        <v>0.3</v>
      </c>
      <c r="N15" s="870">
        <f>L15*M15*12*1490</f>
        <v>123372</v>
      </c>
      <c r="O15" s="870">
        <v>24</v>
      </c>
      <c r="P15" s="875">
        <v>0.3</v>
      </c>
      <c r="Q15" s="870">
        <f>O15*P15*12*1490</f>
        <v>128735.99999999999</v>
      </c>
      <c r="R15" s="870">
        <v>24</v>
      </c>
      <c r="S15" s="875">
        <v>0.3</v>
      </c>
      <c r="T15" s="870">
        <f>R15*S15*12*1490</f>
        <v>128735.99999999999</v>
      </c>
      <c r="U15" s="870">
        <f t="shared" ref="U15:U25" si="1">SUM(E15+H15+K15+N15+Q15+T15)</f>
        <v>745596</v>
      </c>
      <c r="V15" s="50"/>
    </row>
    <row r="16" spans="1:22" ht="18" customHeight="1">
      <c r="A16" s="109"/>
      <c r="B16" s="110" t="s">
        <v>1613</v>
      </c>
      <c r="C16" s="870">
        <v>5</v>
      </c>
      <c r="D16" s="876">
        <v>4.4999999999999998E-2</v>
      </c>
      <c r="E16" s="870">
        <f>C16*D16*12*1490</f>
        <v>4022.9999999999995</v>
      </c>
      <c r="F16" s="870">
        <v>3</v>
      </c>
      <c r="G16" s="876">
        <f>0.045</f>
        <v>4.4999999999999998E-2</v>
      </c>
      <c r="H16" s="870">
        <f>F16*G16*1490*12</f>
        <v>2413.8000000000002</v>
      </c>
      <c r="I16" s="870">
        <v>6</v>
      </c>
      <c r="J16" s="876">
        <v>4.4999999999999998E-2</v>
      </c>
      <c r="K16" s="870">
        <f>I16*J16*1490*12</f>
        <v>4827.6000000000004</v>
      </c>
      <c r="L16" s="870">
        <v>11</v>
      </c>
      <c r="M16" s="876">
        <v>4.4999999999999998E-2</v>
      </c>
      <c r="N16" s="870">
        <f>L16*M16*1490*12</f>
        <v>8850.5999999999985</v>
      </c>
      <c r="O16" s="870">
        <v>4</v>
      </c>
      <c r="P16" s="876">
        <v>4.4999999999999998E-2</v>
      </c>
      <c r="Q16" s="870">
        <f>O16*P16*1490*12</f>
        <v>3218.3999999999996</v>
      </c>
      <c r="R16" s="870">
        <v>6</v>
      </c>
      <c r="S16" s="876">
        <v>4.4999999999999998E-2</v>
      </c>
      <c r="T16" s="870">
        <f>R16*S16*1490*12</f>
        <v>4827.6000000000004</v>
      </c>
      <c r="U16" s="870">
        <f t="shared" si="1"/>
        <v>28161</v>
      </c>
      <c r="V16" s="50"/>
    </row>
    <row r="17" spans="1:28" ht="18" customHeight="1">
      <c r="A17" s="109" t="s">
        <v>550</v>
      </c>
      <c r="B17" s="254" t="s">
        <v>1156</v>
      </c>
      <c r="C17" s="870"/>
      <c r="D17" s="875"/>
      <c r="E17" s="870">
        <v>75000</v>
      </c>
      <c r="F17" s="870"/>
      <c r="G17" s="875"/>
      <c r="H17" s="870">
        <v>75000</v>
      </c>
      <c r="I17" s="870"/>
      <c r="J17" s="875"/>
      <c r="K17" s="870">
        <v>75000</v>
      </c>
      <c r="L17" s="870"/>
      <c r="M17" s="875"/>
      <c r="N17" s="870">
        <v>75000</v>
      </c>
      <c r="O17" s="870"/>
      <c r="P17" s="875"/>
      <c r="Q17" s="870">
        <v>75000</v>
      </c>
      <c r="R17" s="870"/>
      <c r="S17" s="875"/>
      <c r="T17" s="870">
        <v>75000</v>
      </c>
      <c r="U17" s="870">
        <f t="shared" si="1"/>
        <v>450000</v>
      </c>
      <c r="V17" s="50"/>
      <c r="W17" s="348"/>
      <c r="X17" s="348"/>
      <c r="Y17" s="348"/>
      <c r="Z17" s="348"/>
      <c r="AA17" s="348"/>
      <c r="AB17" s="348"/>
    </row>
    <row r="18" spans="1:28" ht="18" customHeight="1">
      <c r="A18" s="109" t="s">
        <v>549</v>
      </c>
      <c r="B18" s="254" t="s">
        <v>276</v>
      </c>
      <c r="C18" s="870">
        <v>14</v>
      </c>
      <c r="D18" s="875">
        <v>0.3</v>
      </c>
      <c r="E18" s="870">
        <f>C18*D18*1490*12</f>
        <v>75096</v>
      </c>
      <c r="F18" s="870">
        <v>15</v>
      </c>
      <c r="G18" s="875">
        <v>0.3</v>
      </c>
      <c r="H18" s="870">
        <f>F18*G18*1490*12</f>
        <v>80460</v>
      </c>
      <c r="I18" s="870">
        <v>14</v>
      </c>
      <c r="J18" s="875">
        <v>0.3</v>
      </c>
      <c r="K18" s="870">
        <f>I18*J18*1490*12</f>
        <v>75096</v>
      </c>
      <c r="L18" s="870">
        <v>13</v>
      </c>
      <c r="M18" s="875">
        <v>0.3</v>
      </c>
      <c r="N18" s="870">
        <f>L18*M18*1490*12</f>
        <v>69732</v>
      </c>
      <c r="O18" s="870">
        <v>14</v>
      </c>
      <c r="P18" s="875">
        <v>0.3</v>
      </c>
      <c r="Q18" s="870">
        <f>O18*P18*1490*12</f>
        <v>75096</v>
      </c>
      <c r="R18" s="870">
        <v>15</v>
      </c>
      <c r="S18" s="875">
        <v>0.3</v>
      </c>
      <c r="T18" s="870">
        <f>R18*S18*1490*12</f>
        <v>80460</v>
      </c>
      <c r="U18" s="870">
        <f t="shared" si="1"/>
        <v>455940</v>
      </c>
      <c r="V18" s="50"/>
    </row>
    <row r="19" spans="1:28" ht="18" customHeight="1">
      <c r="A19" s="109" t="s">
        <v>550</v>
      </c>
      <c r="B19" s="166" t="s">
        <v>277</v>
      </c>
      <c r="C19" s="877"/>
      <c r="D19" s="878"/>
      <c r="E19" s="877">
        <v>5000</v>
      </c>
      <c r="F19" s="877"/>
      <c r="G19" s="878"/>
      <c r="H19" s="877">
        <v>5000</v>
      </c>
      <c r="I19" s="877"/>
      <c r="J19" s="878"/>
      <c r="K19" s="877">
        <v>5000</v>
      </c>
      <c r="L19" s="877"/>
      <c r="M19" s="878"/>
      <c r="N19" s="877">
        <v>5000</v>
      </c>
      <c r="O19" s="877"/>
      <c r="P19" s="878"/>
      <c r="Q19" s="877">
        <v>5000</v>
      </c>
      <c r="R19" s="877"/>
      <c r="S19" s="878"/>
      <c r="T19" s="877">
        <v>5000</v>
      </c>
      <c r="U19" s="877">
        <f t="shared" si="1"/>
        <v>30000</v>
      </c>
      <c r="V19" s="50"/>
      <c r="W19" s="349"/>
      <c r="X19" s="349"/>
      <c r="Y19" s="349"/>
      <c r="Z19" s="349"/>
    </row>
    <row r="20" spans="1:28" ht="18" customHeight="1">
      <c r="A20" s="350" t="s">
        <v>550</v>
      </c>
      <c r="B20" s="254" t="s">
        <v>278</v>
      </c>
      <c r="C20" s="870">
        <v>5</v>
      </c>
      <c r="D20" s="875">
        <v>0.2</v>
      </c>
      <c r="E20" s="870">
        <f>C20*D20*1490*12</f>
        <v>17880</v>
      </c>
      <c r="F20" s="870">
        <v>5</v>
      </c>
      <c r="G20" s="875">
        <v>0.2</v>
      </c>
      <c r="H20" s="870">
        <f>F20*G20*1490*12</f>
        <v>17880</v>
      </c>
      <c r="I20" s="870">
        <v>5</v>
      </c>
      <c r="J20" s="875">
        <v>0.2</v>
      </c>
      <c r="K20" s="870">
        <f>I20*J20*1490*12</f>
        <v>17880</v>
      </c>
      <c r="L20" s="870">
        <v>5</v>
      </c>
      <c r="M20" s="875">
        <v>0.2</v>
      </c>
      <c r="N20" s="870">
        <f>L20*M20*1490*12</f>
        <v>17880</v>
      </c>
      <c r="O20" s="870">
        <v>4</v>
      </c>
      <c r="P20" s="875">
        <v>0.2</v>
      </c>
      <c r="Q20" s="870">
        <f>O20*P20*1490*12</f>
        <v>14304</v>
      </c>
      <c r="R20" s="870">
        <v>5</v>
      </c>
      <c r="S20" s="875">
        <v>0.2</v>
      </c>
      <c r="T20" s="870">
        <f>R20*S20*1490*12</f>
        <v>17880</v>
      </c>
      <c r="U20" s="870">
        <f t="shared" si="1"/>
        <v>103704</v>
      </c>
      <c r="V20" s="50"/>
      <c r="W20" s="351"/>
      <c r="X20" s="348"/>
      <c r="Y20" s="348"/>
      <c r="Z20" s="348"/>
    </row>
    <row r="21" spans="1:28" ht="18" customHeight="1">
      <c r="A21" s="109" t="s">
        <v>549</v>
      </c>
      <c r="B21" s="590" t="s">
        <v>1614</v>
      </c>
      <c r="C21" s="583"/>
      <c r="D21" s="588">
        <v>13.7</v>
      </c>
      <c r="E21" s="583">
        <f>D21*1490*12</f>
        <v>244956</v>
      </c>
      <c r="F21" s="583"/>
      <c r="G21" s="588">
        <v>13.7</v>
      </c>
      <c r="H21" s="583">
        <f>G21*1490*12</f>
        <v>244956</v>
      </c>
      <c r="I21" s="583"/>
      <c r="J21" s="588">
        <v>13.7</v>
      </c>
      <c r="K21" s="583">
        <f>J21*1490*12</f>
        <v>244956</v>
      </c>
      <c r="L21" s="583"/>
      <c r="M21" s="588">
        <v>13.7</v>
      </c>
      <c r="N21" s="583">
        <f>M21*1490*12</f>
        <v>244956</v>
      </c>
      <c r="O21" s="583"/>
      <c r="P21" s="588">
        <v>13.7</v>
      </c>
      <c r="Q21" s="583">
        <f>P21*1490*12</f>
        <v>244956</v>
      </c>
      <c r="R21" s="583"/>
      <c r="S21" s="588">
        <v>11.4</v>
      </c>
      <c r="T21" s="583">
        <f>S21*1490*12</f>
        <v>203832</v>
      </c>
      <c r="U21" s="583">
        <f t="shared" si="1"/>
        <v>1428612</v>
      </c>
      <c r="V21" s="50"/>
    </row>
    <row r="22" spans="1:28" ht="18" customHeight="1">
      <c r="A22" s="109" t="s">
        <v>550</v>
      </c>
      <c r="B22" s="590" t="s">
        <v>759</v>
      </c>
      <c r="C22" s="583"/>
      <c r="D22" s="583"/>
      <c r="E22" s="583">
        <v>85000</v>
      </c>
      <c r="F22" s="583"/>
      <c r="G22" s="583"/>
      <c r="H22" s="583">
        <v>85000</v>
      </c>
      <c r="I22" s="583"/>
      <c r="J22" s="583"/>
      <c r="K22" s="583">
        <v>85000</v>
      </c>
      <c r="L22" s="583"/>
      <c r="M22" s="583"/>
      <c r="N22" s="583">
        <v>85000</v>
      </c>
      <c r="O22" s="583"/>
      <c r="P22" s="583"/>
      <c r="Q22" s="583">
        <v>85000</v>
      </c>
      <c r="R22" s="583"/>
      <c r="S22" s="583"/>
      <c r="T22" s="583">
        <v>85000</v>
      </c>
      <c r="U22" s="583">
        <f t="shared" si="1"/>
        <v>510000</v>
      </c>
      <c r="V22" s="50"/>
    </row>
    <row r="23" spans="1:28" ht="18" customHeight="1">
      <c r="A23" s="109" t="s">
        <v>550</v>
      </c>
      <c r="B23" s="590" t="s">
        <v>1615</v>
      </c>
      <c r="C23" s="583"/>
      <c r="D23" s="588"/>
      <c r="E23" s="583">
        <f>E24+E25</f>
        <v>547128</v>
      </c>
      <c r="F23" s="583">
        <f>F24+F25</f>
        <v>8</v>
      </c>
      <c r="G23" s="583">
        <f>G24+G25</f>
        <v>3.3</v>
      </c>
      <c r="H23" s="583">
        <f>H24+H25</f>
        <v>472032</v>
      </c>
      <c r="I23" s="583"/>
      <c r="J23" s="588"/>
      <c r="K23" s="583">
        <f>K24+K25</f>
        <v>413028</v>
      </c>
      <c r="L23" s="583"/>
      <c r="M23" s="583"/>
      <c r="N23" s="583">
        <f>N24+N25</f>
        <v>547128</v>
      </c>
      <c r="O23" s="583"/>
      <c r="P23" s="588"/>
      <c r="Q23" s="583">
        <f>Q24+Q25</f>
        <v>439848</v>
      </c>
      <c r="R23" s="583"/>
      <c r="S23" s="588"/>
      <c r="T23" s="583">
        <f>T24+T25</f>
        <v>482760</v>
      </c>
      <c r="U23" s="583">
        <f>U24+U25</f>
        <v>2901924</v>
      </c>
      <c r="V23" s="50"/>
    </row>
    <row r="24" spans="1:28" ht="18" customHeight="1">
      <c r="A24" s="109"/>
      <c r="B24" s="590" t="s">
        <v>1616</v>
      </c>
      <c r="C24" s="583">
        <v>2</v>
      </c>
      <c r="D24" s="588">
        <v>3.3</v>
      </c>
      <c r="E24" s="583">
        <f>C24*D24*1490*12</f>
        <v>118008</v>
      </c>
      <c r="F24" s="583">
        <v>8</v>
      </c>
      <c r="G24" s="588">
        <v>3.3</v>
      </c>
      <c r="H24" s="583">
        <f>F24*G24*1490*12</f>
        <v>472032</v>
      </c>
      <c r="I24" s="583">
        <v>7</v>
      </c>
      <c r="J24" s="588">
        <v>3.3</v>
      </c>
      <c r="K24" s="583">
        <f>I24*J24*1490*12</f>
        <v>413028</v>
      </c>
      <c r="L24" s="583">
        <v>2</v>
      </c>
      <c r="M24" s="588">
        <v>3.3</v>
      </c>
      <c r="N24" s="583">
        <f>L24*M24*1490*12</f>
        <v>118008</v>
      </c>
      <c r="O24" s="583">
        <v>2</v>
      </c>
      <c r="P24" s="588">
        <v>3.3</v>
      </c>
      <c r="Q24" s="583">
        <f>O24*P24*1490*12</f>
        <v>118008</v>
      </c>
      <c r="R24" s="583"/>
      <c r="S24" s="588"/>
      <c r="T24" s="583"/>
      <c r="U24" s="583">
        <f t="shared" si="1"/>
        <v>1239084</v>
      </c>
      <c r="V24" s="50"/>
    </row>
    <row r="25" spans="1:28" ht="18" customHeight="1">
      <c r="A25" s="109"/>
      <c r="B25" s="590" t="s">
        <v>1617</v>
      </c>
      <c r="C25" s="583">
        <v>8</v>
      </c>
      <c r="D25" s="588">
        <v>3</v>
      </c>
      <c r="E25" s="583">
        <f>C25*D25*1490*12</f>
        <v>429120</v>
      </c>
      <c r="F25" s="583"/>
      <c r="G25" s="588"/>
      <c r="H25" s="583"/>
      <c r="I25" s="583"/>
      <c r="J25" s="588"/>
      <c r="K25" s="583"/>
      <c r="L25" s="583">
        <v>8</v>
      </c>
      <c r="M25" s="588">
        <v>3</v>
      </c>
      <c r="N25" s="583">
        <f>L25*M25*1490*12</f>
        <v>429120</v>
      </c>
      <c r="O25" s="583">
        <v>6</v>
      </c>
      <c r="P25" s="588">
        <v>3</v>
      </c>
      <c r="Q25" s="583">
        <f>O25*P25*1490*12</f>
        <v>321840</v>
      </c>
      <c r="R25" s="583">
        <v>9</v>
      </c>
      <c r="S25" s="588">
        <v>3</v>
      </c>
      <c r="T25" s="583">
        <f>R25*S25*1490*12</f>
        <v>482760</v>
      </c>
      <c r="U25" s="583">
        <f t="shared" si="1"/>
        <v>1662840</v>
      </c>
      <c r="V25" s="50"/>
    </row>
    <row r="26" spans="1:28" ht="18" customHeight="1">
      <c r="A26" s="109" t="s">
        <v>550</v>
      </c>
      <c r="B26" s="590" t="s">
        <v>1618</v>
      </c>
      <c r="C26" s="583"/>
      <c r="D26" s="588"/>
      <c r="E26" s="583">
        <f>E27+E28</f>
        <v>204000</v>
      </c>
      <c r="F26" s="583"/>
      <c r="G26" s="588"/>
      <c r="H26" s="583">
        <f>H27+H28</f>
        <v>176000</v>
      </c>
      <c r="I26" s="583"/>
      <c r="J26" s="588"/>
      <c r="K26" s="583">
        <f>K27+K28</f>
        <v>154000</v>
      </c>
      <c r="L26" s="583"/>
      <c r="M26" s="588"/>
      <c r="N26" s="583">
        <f>N27+N28</f>
        <v>204000</v>
      </c>
      <c r="O26" s="583"/>
      <c r="P26" s="588"/>
      <c r="Q26" s="583">
        <f>Q27+Q28</f>
        <v>164000</v>
      </c>
      <c r="R26" s="583"/>
      <c r="S26" s="588"/>
      <c r="T26" s="583">
        <f>T27+T28</f>
        <v>180000</v>
      </c>
      <c r="U26" s="583">
        <f>U27+U28</f>
        <v>1082000</v>
      </c>
      <c r="V26" s="50"/>
    </row>
    <row r="27" spans="1:28" ht="18" customHeight="1">
      <c r="A27" s="109"/>
      <c r="B27" s="590" t="s">
        <v>1616</v>
      </c>
      <c r="C27" s="583">
        <v>2</v>
      </c>
      <c r="D27" s="583">
        <v>22000</v>
      </c>
      <c r="E27" s="583">
        <f>C27*D27</f>
        <v>44000</v>
      </c>
      <c r="F27" s="583">
        <v>8</v>
      </c>
      <c r="G27" s="583">
        <v>22000</v>
      </c>
      <c r="H27" s="583">
        <f>F27*G27</f>
        <v>176000</v>
      </c>
      <c r="I27" s="583">
        <v>7</v>
      </c>
      <c r="J27" s="583">
        <v>22000</v>
      </c>
      <c r="K27" s="583">
        <f>I27*J27</f>
        <v>154000</v>
      </c>
      <c r="L27" s="583">
        <v>2</v>
      </c>
      <c r="M27" s="583">
        <v>22000</v>
      </c>
      <c r="N27" s="583">
        <f>L27*M27</f>
        <v>44000</v>
      </c>
      <c r="O27" s="583">
        <v>2</v>
      </c>
      <c r="P27" s="583">
        <v>22000</v>
      </c>
      <c r="Q27" s="583">
        <f>O27*P27</f>
        <v>44000</v>
      </c>
      <c r="R27" s="583"/>
      <c r="S27" s="588"/>
      <c r="T27" s="583"/>
      <c r="U27" s="583">
        <f t="shared" ref="U27:U34" si="2">SUM(E27+H27+K27+N27+Q27+T27)</f>
        <v>462000</v>
      </c>
      <c r="V27" s="50"/>
    </row>
    <row r="28" spans="1:28" ht="18" customHeight="1">
      <c r="A28" s="109"/>
      <c r="B28" s="590" t="s">
        <v>1617</v>
      </c>
      <c r="C28" s="583">
        <v>8</v>
      </c>
      <c r="D28" s="583">
        <v>20000</v>
      </c>
      <c r="E28" s="583">
        <f>C28*D28</f>
        <v>160000</v>
      </c>
      <c r="F28" s="583"/>
      <c r="G28" s="588"/>
      <c r="H28" s="583"/>
      <c r="I28" s="583"/>
      <c r="J28" s="588"/>
      <c r="K28" s="583"/>
      <c r="L28" s="583">
        <v>8</v>
      </c>
      <c r="M28" s="583">
        <v>20000</v>
      </c>
      <c r="N28" s="583">
        <f>L28*M28</f>
        <v>160000</v>
      </c>
      <c r="O28" s="583">
        <v>6</v>
      </c>
      <c r="P28" s="583">
        <v>20000</v>
      </c>
      <c r="Q28" s="583">
        <f>O28*P28</f>
        <v>120000</v>
      </c>
      <c r="R28" s="583">
        <v>9</v>
      </c>
      <c r="S28" s="583">
        <v>20000</v>
      </c>
      <c r="T28" s="583">
        <f>R28*S28</f>
        <v>180000</v>
      </c>
      <c r="U28" s="583">
        <f t="shared" si="2"/>
        <v>620000</v>
      </c>
      <c r="V28" s="50"/>
    </row>
    <row r="29" spans="1:28" ht="18" customHeight="1">
      <c r="A29" s="109" t="s">
        <v>550</v>
      </c>
      <c r="B29" s="590" t="s">
        <v>1619</v>
      </c>
      <c r="C29" s="583">
        <v>3</v>
      </c>
      <c r="D29" s="605">
        <v>0.14000000000000001</v>
      </c>
      <c r="E29" s="583">
        <f>C29*D29*12*1490</f>
        <v>7509.6000000000013</v>
      </c>
      <c r="F29" s="583">
        <v>2</v>
      </c>
      <c r="G29" s="605">
        <v>0.14000000000000001</v>
      </c>
      <c r="H29" s="583">
        <f>F29*G29*1490*12</f>
        <v>5006.4000000000005</v>
      </c>
      <c r="I29" s="583">
        <v>3</v>
      </c>
      <c r="J29" s="605">
        <v>0.14000000000000001</v>
      </c>
      <c r="K29" s="583">
        <f>I29*J29*12*1490</f>
        <v>7509.6000000000013</v>
      </c>
      <c r="L29" s="583">
        <v>2</v>
      </c>
      <c r="M29" s="589">
        <v>0.14000000000000001</v>
      </c>
      <c r="N29" s="583">
        <f>L29*M29*12*1490</f>
        <v>5006.4000000000005</v>
      </c>
      <c r="O29" s="583">
        <v>10</v>
      </c>
      <c r="P29" s="605">
        <v>0.14000000000000001</v>
      </c>
      <c r="Q29" s="583">
        <f>O29*P29*12*1490</f>
        <v>25032</v>
      </c>
      <c r="R29" s="583">
        <v>10</v>
      </c>
      <c r="S29" s="605">
        <v>0.14000000000000001</v>
      </c>
      <c r="T29" s="583">
        <f>R29*S29*1490*12</f>
        <v>25032</v>
      </c>
      <c r="U29" s="583">
        <f t="shared" si="2"/>
        <v>75096</v>
      </c>
      <c r="V29" s="50"/>
    </row>
    <row r="30" spans="1:28" ht="18" customHeight="1">
      <c r="A30" s="109" t="s">
        <v>550</v>
      </c>
      <c r="B30" s="254" t="s">
        <v>1159</v>
      </c>
      <c r="C30" s="879">
        <v>2</v>
      </c>
      <c r="D30" s="880">
        <v>4.4999999999999998E-2</v>
      </c>
      <c r="E30" s="879">
        <f>C30*D30*1490*12</f>
        <v>1609.1999999999998</v>
      </c>
      <c r="F30" s="870">
        <v>1</v>
      </c>
      <c r="G30" s="876">
        <v>4.4999999999999998E-2</v>
      </c>
      <c r="H30" s="870">
        <f>F30*G30*12*1490</f>
        <v>804.6</v>
      </c>
      <c r="I30" s="870">
        <v>3</v>
      </c>
      <c r="J30" s="876">
        <v>4.4999999999999998E-2</v>
      </c>
      <c r="K30" s="879">
        <f>I30*J30*12*1490</f>
        <v>2413.8000000000002</v>
      </c>
      <c r="L30" s="879">
        <v>7</v>
      </c>
      <c r="M30" s="880">
        <v>4.4999999999999998E-2</v>
      </c>
      <c r="N30" s="879">
        <f>L30*M30*12*1490</f>
        <v>5632.2000000000007</v>
      </c>
      <c r="O30" s="870">
        <v>10</v>
      </c>
      <c r="P30" s="880">
        <v>4.4999999999999998E-2</v>
      </c>
      <c r="Q30" s="879">
        <f>O30*P30*12*1490</f>
        <v>8045.9999999999991</v>
      </c>
      <c r="R30" s="879">
        <v>5</v>
      </c>
      <c r="S30" s="880">
        <v>4.4999999999999998E-2</v>
      </c>
      <c r="T30" s="879">
        <f>R30*S30*12*1490</f>
        <v>4022.9999999999995</v>
      </c>
      <c r="U30" s="870">
        <f t="shared" si="2"/>
        <v>22528.799999999999</v>
      </c>
      <c r="V30" s="50"/>
    </row>
    <row r="31" spans="1:28" ht="18" customHeight="1">
      <c r="A31" s="109" t="s">
        <v>550</v>
      </c>
      <c r="B31" s="254" t="s">
        <v>766</v>
      </c>
      <c r="C31" s="870">
        <v>17</v>
      </c>
      <c r="D31" s="870"/>
      <c r="E31" s="870">
        <f>4141*12</f>
        <v>49692</v>
      </c>
      <c r="F31" s="870">
        <v>15</v>
      </c>
      <c r="G31" s="870"/>
      <c r="H31" s="870">
        <f>3247*12</f>
        <v>38964</v>
      </c>
      <c r="I31" s="870">
        <v>14</v>
      </c>
      <c r="J31" s="870">
        <v>200</v>
      </c>
      <c r="K31" s="870">
        <f>I31*J31*12</f>
        <v>33600</v>
      </c>
      <c r="L31" s="870">
        <v>19</v>
      </c>
      <c r="M31" s="875"/>
      <c r="N31" s="870">
        <f>4047*12</f>
        <v>48564</v>
      </c>
      <c r="O31" s="870">
        <v>16</v>
      </c>
      <c r="P31" s="870">
        <v>200</v>
      </c>
      <c r="Q31" s="870">
        <f>O31*P31*12</f>
        <v>38400</v>
      </c>
      <c r="R31" s="870">
        <v>15</v>
      </c>
      <c r="S31" s="875"/>
      <c r="T31" s="870">
        <f>3741*12</f>
        <v>44892</v>
      </c>
      <c r="U31" s="870">
        <f t="shared" si="2"/>
        <v>254112</v>
      </c>
      <c r="V31" s="50"/>
    </row>
    <row r="32" spans="1:28" ht="18" customHeight="1">
      <c r="A32" s="109" t="s">
        <v>550</v>
      </c>
      <c r="B32" s="110" t="s">
        <v>760</v>
      </c>
      <c r="C32" s="870"/>
      <c r="D32" s="870"/>
      <c r="E32" s="870">
        <v>5000</v>
      </c>
      <c r="F32" s="870"/>
      <c r="G32" s="870"/>
      <c r="H32" s="870">
        <v>5000</v>
      </c>
      <c r="I32" s="870"/>
      <c r="J32" s="870"/>
      <c r="K32" s="870">
        <v>5000</v>
      </c>
      <c r="L32" s="870"/>
      <c r="M32" s="870"/>
      <c r="N32" s="870">
        <v>5000</v>
      </c>
      <c r="O32" s="870"/>
      <c r="P32" s="870"/>
      <c r="Q32" s="870">
        <v>5000</v>
      </c>
      <c r="R32" s="870"/>
      <c r="S32" s="870"/>
      <c r="T32" s="870">
        <v>5000</v>
      </c>
      <c r="U32" s="870">
        <f t="shared" si="2"/>
        <v>30000</v>
      </c>
      <c r="V32" s="50"/>
    </row>
    <row r="33" spans="1:22" ht="18" customHeight="1">
      <c r="A33" s="109" t="s">
        <v>549</v>
      </c>
      <c r="B33" s="110" t="s">
        <v>1620</v>
      </c>
      <c r="C33" s="870"/>
      <c r="D33" s="870"/>
      <c r="E33" s="870"/>
      <c r="F33" s="870"/>
      <c r="G33" s="870"/>
      <c r="H33" s="870"/>
      <c r="I33" s="870"/>
      <c r="J33" s="870"/>
      <c r="K33" s="870"/>
      <c r="L33" s="870"/>
      <c r="M33" s="870"/>
      <c r="N33" s="870"/>
      <c r="O33" s="870"/>
      <c r="P33" s="870"/>
      <c r="Q33" s="870"/>
      <c r="R33" s="870">
        <v>9</v>
      </c>
      <c r="S33" s="875">
        <v>0.3</v>
      </c>
      <c r="T33" s="870">
        <f>R33*S33*1490*12</f>
        <v>48275.999999999993</v>
      </c>
      <c r="U33" s="870">
        <f t="shared" si="2"/>
        <v>48275.999999999993</v>
      </c>
      <c r="V33" s="50"/>
    </row>
    <row r="34" spans="1:22" ht="18" customHeight="1">
      <c r="A34" s="109" t="s">
        <v>1621</v>
      </c>
      <c r="B34" s="110" t="s">
        <v>1622</v>
      </c>
      <c r="C34" s="870">
        <v>10</v>
      </c>
      <c r="D34" s="881">
        <v>0.5</v>
      </c>
      <c r="E34" s="870">
        <f>C34*D34*1490*12</f>
        <v>89400</v>
      </c>
      <c r="F34" s="870">
        <v>8</v>
      </c>
      <c r="G34" s="875">
        <v>0.5</v>
      </c>
      <c r="H34" s="870">
        <f>F34*G34*1490*12</f>
        <v>71520</v>
      </c>
      <c r="I34" s="870">
        <v>7</v>
      </c>
      <c r="J34" s="875">
        <v>0.5</v>
      </c>
      <c r="K34" s="870">
        <f>I34*J34*1490*12</f>
        <v>62580</v>
      </c>
      <c r="L34" s="870">
        <v>10</v>
      </c>
      <c r="M34" s="875">
        <v>0.5</v>
      </c>
      <c r="N34" s="870">
        <f>L34*M34*1490*12</f>
        <v>89400</v>
      </c>
      <c r="O34" s="870">
        <v>8</v>
      </c>
      <c r="P34" s="881">
        <v>0.5</v>
      </c>
      <c r="Q34" s="870">
        <f>O34*P34*1490*12</f>
        <v>71520</v>
      </c>
      <c r="R34" s="870">
        <v>9</v>
      </c>
      <c r="S34" s="881">
        <v>0.5</v>
      </c>
      <c r="T34" s="870">
        <f>R34*S34*1490*12</f>
        <v>80460</v>
      </c>
      <c r="U34" s="870">
        <f t="shared" si="2"/>
        <v>464880</v>
      </c>
      <c r="V34" s="50"/>
    </row>
    <row r="35" spans="1:22" s="50" customFormat="1" ht="18" customHeight="1">
      <c r="A35" s="105">
        <v>3</v>
      </c>
      <c r="B35" s="106" t="s">
        <v>761</v>
      </c>
      <c r="C35" s="869"/>
      <c r="D35" s="869"/>
      <c r="E35" s="869">
        <f>E36+E37+E38+E39+E40</f>
        <v>153100</v>
      </c>
      <c r="F35" s="869">
        <v>0</v>
      </c>
      <c r="G35" s="869">
        <v>0</v>
      </c>
      <c r="H35" s="869">
        <f>H36+H37+H38+H39+H40</f>
        <v>138480</v>
      </c>
      <c r="I35" s="869">
        <v>0</v>
      </c>
      <c r="J35" s="869">
        <v>0</v>
      </c>
      <c r="K35" s="869">
        <f>K36+K37+K38+K39+K40</f>
        <v>131170</v>
      </c>
      <c r="L35" s="869">
        <v>0</v>
      </c>
      <c r="M35" s="869">
        <v>0</v>
      </c>
      <c r="N35" s="869">
        <f>N36+N37+N38+N39+N40</f>
        <v>153100</v>
      </c>
      <c r="O35" s="869">
        <v>0</v>
      </c>
      <c r="P35" s="869">
        <v>0</v>
      </c>
      <c r="Q35" s="869">
        <f>Q36+Q37+Q38+Q39+Q40</f>
        <v>138480</v>
      </c>
      <c r="R35" s="869">
        <v>0</v>
      </c>
      <c r="S35" s="869">
        <v>0</v>
      </c>
      <c r="T35" s="869">
        <f>T36+T37+T38+T39+T40</f>
        <v>150790</v>
      </c>
      <c r="U35" s="869">
        <f>U36+U37+U38+U39+U40</f>
        <v>865120</v>
      </c>
    </row>
    <row r="36" spans="1:22" ht="18" customHeight="1">
      <c r="A36" s="109" t="s">
        <v>549</v>
      </c>
      <c r="B36" s="110" t="s">
        <v>512</v>
      </c>
      <c r="C36" s="870"/>
      <c r="D36" s="870"/>
      <c r="E36" s="870">
        <v>50000</v>
      </c>
      <c r="F36" s="870">
        <v>0</v>
      </c>
      <c r="G36" s="870">
        <v>0</v>
      </c>
      <c r="H36" s="870">
        <v>50000</v>
      </c>
      <c r="I36" s="870">
        <v>0</v>
      </c>
      <c r="J36" s="870">
        <v>0</v>
      </c>
      <c r="K36" s="870">
        <v>50000</v>
      </c>
      <c r="L36" s="870"/>
      <c r="M36" s="870"/>
      <c r="N36" s="870">
        <v>50000</v>
      </c>
      <c r="O36" s="870">
        <v>0</v>
      </c>
      <c r="P36" s="870">
        <v>0</v>
      </c>
      <c r="Q36" s="870">
        <v>50000</v>
      </c>
      <c r="R36" s="870">
        <v>0</v>
      </c>
      <c r="S36" s="870">
        <v>0</v>
      </c>
      <c r="T36" s="870">
        <v>55000</v>
      </c>
      <c r="U36" s="870">
        <f>SUM(E36+H36+K36+N36+Q36+T36)</f>
        <v>305000</v>
      </c>
      <c r="V36" s="50"/>
    </row>
    <row r="37" spans="1:22" ht="18" customHeight="1">
      <c r="A37" s="109" t="s">
        <v>550</v>
      </c>
      <c r="B37" s="110" t="s">
        <v>513</v>
      </c>
      <c r="C37" s="870">
        <v>10</v>
      </c>
      <c r="D37" s="870">
        <v>7310</v>
      </c>
      <c r="E37" s="870">
        <f>C37*D37</f>
        <v>73100</v>
      </c>
      <c r="F37" s="870">
        <v>8</v>
      </c>
      <c r="G37" s="870">
        <v>7310</v>
      </c>
      <c r="H37" s="870">
        <f>F37*G37</f>
        <v>58480</v>
      </c>
      <c r="I37" s="870">
        <v>7</v>
      </c>
      <c r="J37" s="870">
        <v>7310</v>
      </c>
      <c r="K37" s="870">
        <f>I37*J37</f>
        <v>51170</v>
      </c>
      <c r="L37" s="870">
        <v>10</v>
      </c>
      <c r="M37" s="870">
        <v>7310</v>
      </c>
      <c r="N37" s="870">
        <f>L37*M37</f>
        <v>73100</v>
      </c>
      <c r="O37" s="870">
        <v>8</v>
      </c>
      <c r="P37" s="870">
        <v>7310</v>
      </c>
      <c r="Q37" s="870">
        <f>O37*P37</f>
        <v>58480</v>
      </c>
      <c r="R37" s="870">
        <v>9</v>
      </c>
      <c r="S37" s="870">
        <v>7310</v>
      </c>
      <c r="T37" s="870">
        <f>R37*S37</f>
        <v>65790</v>
      </c>
      <c r="U37" s="870">
        <f>SUM(E37+H37+K37+N37+Q37+T37)</f>
        <v>380120</v>
      </c>
      <c r="V37" s="50"/>
    </row>
    <row r="38" spans="1:22" ht="18" customHeight="1">
      <c r="A38" s="109" t="s">
        <v>550</v>
      </c>
      <c r="B38" s="110" t="s">
        <v>1623</v>
      </c>
      <c r="C38" s="870"/>
      <c r="D38" s="870"/>
      <c r="E38" s="870">
        <v>20000</v>
      </c>
      <c r="F38" s="870"/>
      <c r="G38" s="870"/>
      <c r="H38" s="870">
        <v>20000</v>
      </c>
      <c r="I38" s="870"/>
      <c r="J38" s="870"/>
      <c r="K38" s="870">
        <v>20000</v>
      </c>
      <c r="L38" s="870"/>
      <c r="M38" s="870"/>
      <c r="N38" s="870">
        <v>20000</v>
      </c>
      <c r="O38" s="870"/>
      <c r="P38" s="870"/>
      <c r="Q38" s="870">
        <v>20000</v>
      </c>
      <c r="R38" s="870"/>
      <c r="S38" s="870"/>
      <c r="T38" s="870">
        <v>20000</v>
      </c>
      <c r="U38" s="870">
        <f>SUM(E38+H38+K38+N38+Q38+T38)</f>
        <v>120000</v>
      </c>
      <c r="V38" s="50"/>
    </row>
    <row r="39" spans="1:22" ht="18" customHeight="1">
      <c r="A39" s="109" t="s">
        <v>549</v>
      </c>
      <c r="B39" s="110" t="s">
        <v>1624</v>
      </c>
      <c r="C39" s="870"/>
      <c r="D39" s="870"/>
      <c r="E39" s="870">
        <v>10000</v>
      </c>
      <c r="F39" s="870"/>
      <c r="G39" s="870"/>
      <c r="H39" s="870">
        <v>10000</v>
      </c>
      <c r="I39" s="870"/>
      <c r="J39" s="870"/>
      <c r="K39" s="870">
        <v>10000</v>
      </c>
      <c r="L39" s="870"/>
      <c r="M39" s="870"/>
      <c r="N39" s="870">
        <v>10000</v>
      </c>
      <c r="O39" s="870"/>
      <c r="P39" s="870"/>
      <c r="Q39" s="870">
        <v>10000</v>
      </c>
      <c r="R39" s="870"/>
      <c r="S39" s="870"/>
      <c r="T39" s="870">
        <v>10000</v>
      </c>
      <c r="U39" s="870">
        <f>SUM(E39+H39+K39+N39+Q39+T39)</f>
        <v>60000</v>
      </c>
      <c r="V39" s="50"/>
    </row>
    <row r="40" spans="1:22" ht="18" customHeight="1">
      <c r="A40" s="109" t="s">
        <v>550</v>
      </c>
      <c r="B40" s="110" t="s">
        <v>1625</v>
      </c>
      <c r="C40" s="870"/>
      <c r="D40" s="870"/>
      <c r="E40" s="870"/>
      <c r="F40" s="870"/>
      <c r="G40" s="870"/>
      <c r="H40" s="870"/>
      <c r="I40" s="870"/>
      <c r="J40" s="870"/>
      <c r="K40" s="870"/>
      <c r="L40" s="870"/>
      <c r="M40" s="870"/>
      <c r="N40" s="870"/>
      <c r="O40" s="870"/>
      <c r="P40" s="870"/>
      <c r="Q40" s="870"/>
      <c r="R40" s="870"/>
      <c r="S40" s="870"/>
      <c r="T40" s="870"/>
      <c r="U40" s="870"/>
      <c r="V40" s="50"/>
    </row>
    <row r="41" spans="1:22" s="50" customFormat="1" ht="18" customHeight="1">
      <c r="A41" s="105">
        <v>4</v>
      </c>
      <c r="B41" s="106" t="s">
        <v>673</v>
      </c>
      <c r="C41" s="869"/>
      <c r="D41" s="869"/>
      <c r="E41" s="869">
        <f>SUM(E42:E53)</f>
        <v>339710</v>
      </c>
      <c r="F41" s="869">
        <f t="shared" ref="F41:S41" si="3">SUM(F42:F53)</f>
        <v>147</v>
      </c>
      <c r="G41" s="869">
        <f>SUM(G42:G53)</f>
        <v>6180.18</v>
      </c>
      <c r="H41" s="869">
        <f>SUM(H42:H53)</f>
        <v>288771.8</v>
      </c>
      <c r="I41" s="869">
        <f t="shared" si="3"/>
        <v>381</v>
      </c>
      <c r="J41" s="869">
        <f t="shared" si="3"/>
        <v>6180.2800000000007</v>
      </c>
      <c r="K41" s="869">
        <f>SUM(K42:K53)</f>
        <v>473718.79999999993</v>
      </c>
      <c r="L41" s="869">
        <f t="shared" si="3"/>
        <v>305</v>
      </c>
      <c r="M41" s="869">
        <f t="shared" si="3"/>
        <v>6180.2800000000007</v>
      </c>
      <c r="N41" s="869">
        <f t="shared" si="3"/>
        <v>325446.20000000007</v>
      </c>
      <c r="O41" s="869">
        <f t="shared" si="3"/>
        <v>192</v>
      </c>
      <c r="P41" s="869">
        <f t="shared" si="3"/>
        <v>6174.2800000000007</v>
      </c>
      <c r="Q41" s="869">
        <f>SUM(Q42:Q53)</f>
        <v>378927.19999999995</v>
      </c>
      <c r="R41" s="869">
        <f t="shared" si="3"/>
        <v>271</v>
      </c>
      <c r="S41" s="869">
        <f t="shared" si="3"/>
        <v>6174.18</v>
      </c>
      <c r="T41" s="869">
        <f>SUM(T42:T53)</f>
        <v>318790.40000000002</v>
      </c>
      <c r="U41" s="869">
        <f>SUM(U42:U53)</f>
        <v>2125364.4</v>
      </c>
    </row>
    <row r="42" spans="1:22" ht="18" customHeight="1">
      <c r="A42" s="109" t="s">
        <v>548</v>
      </c>
      <c r="B42" s="110" t="s">
        <v>512</v>
      </c>
      <c r="C42" s="870"/>
      <c r="D42" s="870"/>
      <c r="E42" s="870">
        <v>29000</v>
      </c>
      <c r="F42" s="870">
        <v>0</v>
      </c>
      <c r="G42" s="870">
        <v>0</v>
      </c>
      <c r="H42" s="870">
        <v>29000</v>
      </c>
      <c r="I42" s="870">
        <v>0</v>
      </c>
      <c r="J42" s="870">
        <v>0</v>
      </c>
      <c r="K42" s="870">
        <v>29000</v>
      </c>
      <c r="L42" s="870">
        <v>0</v>
      </c>
      <c r="M42" s="870">
        <v>0</v>
      </c>
      <c r="N42" s="870">
        <v>29000</v>
      </c>
      <c r="O42" s="870">
        <v>0</v>
      </c>
      <c r="P42" s="870">
        <v>0</v>
      </c>
      <c r="Q42" s="870">
        <v>29000</v>
      </c>
      <c r="R42" s="870">
        <v>0</v>
      </c>
      <c r="S42" s="870">
        <v>0</v>
      </c>
      <c r="T42" s="870">
        <v>29000</v>
      </c>
      <c r="U42" s="870">
        <f>SUM(E42+H42+K42+N42+Q42+T42)</f>
        <v>174000</v>
      </c>
      <c r="V42" s="50"/>
    </row>
    <row r="43" spans="1:22" ht="18" customHeight="1">
      <c r="A43" s="109" t="s">
        <v>548</v>
      </c>
      <c r="B43" s="110" t="s">
        <v>514</v>
      </c>
      <c r="C43" s="870"/>
      <c r="D43" s="870"/>
      <c r="E43" s="870"/>
      <c r="F43" s="870"/>
      <c r="G43" s="870"/>
      <c r="H43" s="870"/>
      <c r="I43" s="870"/>
      <c r="J43" s="870"/>
      <c r="K43" s="870"/>
      <c r="L43" s="870"/>
      <c r="M43" s="870"/>
      <c r="N43" s="870"/>
      <c r="O43" s="870"/>
      <c r="P43" s="870"/>
      <c r="Q43" s="870"/>
      <c r="R43" s="870"/>
      <c r="S43" s="870"/>
      <c r="T43" s="870"/>
      <c r="U43" s="870"/>
      <c r="V43" s="50"/>
    </row>
    <row r="44" spans="1:22" s="51" customFormat="1" ht="18" customHeight="1">
      <c r="A44" s="111"/>
      <c r="B44" s="283" t="s">
        <v>515</v>
      </c>
      <c r="C44" s="872">
        <v>0</v>
      </c>
      <c r="D44" s="872">
        <v>1974</v>
      </c>
      <c r="E44" s="872">
        <f>C44*D44*12</f>
        <v>0</v>
      </c>
      <c r="F44" s="872">
        <v>1</v>
      </c>
      <c r="G44" s="872">
        <v>2116</v>
      </c>
      <c r="H44" s="872">
        <f>F44*G44*12</f>
        <v>25392</v>
      </c>
      <c r="I44" s="872"/>
      <c r="J44" s="872">
        <v>2116</v>
      </c>
      <c r="K44" s="872">
        <f>I44*J44*12</f>
        <v>0</v>
      </c>
      <c r="L44" s="872">
        <v>1</v>
      </c>
      <c r="M44" s="872">
        <v>2116</v>
      </c>
      <c r="N44" s="872">
        <f>L44*M44*12</f>
        <v>25392</v>
      </c>
      <c r="O44" s="872">
        <v>3</v>
      </c>
      <c r="P44" s="872">
        <v>2116</v>
      </c>
      <c r="Q44" s="872">
        <f>O44*P44*12</f>
        <v>76176</v>
      </c>
      <c r="R44" s="872"/>
      <c r="S44" s="872">
        <v>2116</v>
      </c>
      <c r="T44" s="872">
        <f>R44*S44*12</f>
        <v>0</v>
      </c>
      <c r="U44" s="870">
        <f t="shared" ref="U44:U49" si="4">SUM(E44+H44+K44+N44+Q44+T44)</f>
        <v>126960</v>
      </c>
      <c r="V44" s="50"/>
    </row>
    <row r="45" spans="1:22" s="51" customFormat="1" ht="18" customHeight="1">
      <c r="A45" s="111"/>
      <c r="B45" s="283" t="s">
        <v>516</v>
      </c>
      <c r="C45" s="872">
        <v>3</v>
      </c>
      <c r="D45" s="872">
        <v>2048</v>
      </c>
      <c r="E45" s="872">
        <f>C45*D45*12</f>
        <v>73728</v>
      </c>
      <c r="F45" s="872"/>
      <c r="G45" s="872">
        <v>2048</v>
      </c>
      <c r="H45" s="872">
        <f>F45*G45*12</f>
        <v>0</v>
      </c>
      <c r="I45" s="872"/>
      <c r="J45" s="872">
        <v>2048</v>
      </c>
      <c r="K45" s="872">
        <f>I45*J45*12</f>
        <v>0</v>
      </c>
      <c r="L45" s="872"/>
      <c r="M45" s="872">
        <v>2048</v>
      </c>
      <c r="N45" s="872">
        <f>L45*M45*12</f>
        <v>0</v>
      </c>
      <c r="O45" s="872">
        <v>1</v>
      </c>
      <c r="P45" s="872">
        <v>2048</v>
      </c>
      <c r="Q45" s="872">
        <f>O45*P45*12</f>
        <v>24576</v>
      </c>
      <c r="R45" s="872">
        <v>2</v>
      </c>
      <c r="S45" s="872">
        <v>2048</v>
      </c>
      <c r="T45" s="872">
        <f>R45*S45*12</f>
        <v>49152</v>
      </c>
      <c r="U45" s="870">
        <f t="shared" si="4"/>
        <v>147456</v>
      </c>
      <c r="V45" s="50"/>
    </row>
    <row r="46" spans="1:22" s="51" customFormat="1" ht="18" customHeight="1">
      <c r="A46" s="111"/>
      <c r="B46" s="283" t="s">
        <v>517</v>
      </c>
      <c r="C46" s="872">
        <v>5</v>
      </c>
      <c r="D46" s="872">
        <v>1896</v>
      </c>
      <c r="E46" s="872">
        <f>C46*D46*12</f>
        <v>113760</v>
      </c>
      <c r="F46" s="872">
        <v>5</v>
      </c>
      <c r="G46" s="872">
        <v>1896</v>
      </c>
      <c r="H46" s="872">
        <f>F46*G46*12</f>
        <v>113760</v>
      </c>
      <c r="I46" s="872">
        <v>6</v>
      </c>
      <c r="J46" s="872">
        <v>1896</v>
      </c>
      <c r="K46" s="872">
        <f>I46*J46*12</f>
        <v>136512</v>
      </c>
      <c r="L46" s="872">
        <v>1</v>
      </c>
      <c r="M46" s="872">
        <v>1896</v>
      </c>
      <c r="N46" s="872">
        <f>L46*M46*12</f>
        <v>22752</v>
      </c>
      <c r="O46" s="872">
        <v>4</v>
      </c>
      <c r="P46" s="872">
        <v>1890</v>
      </c>
      <c r="Q46" s="872">
        <f>O46*P46*12</f>
        <v>90720</v>
      </c>
      <c r="R46" s="872">
        <v>1</v>
      </c>
      <c r="S46" s="872">
        <v>1890</v>
      </c>
      <c r="T46" s="872">
        <f>R46*S46*12</f>
        <v>22680</v>
      </c>
      <c r="U46" s="870">
        <f t="shared" si="4"/>
        <v>500184</v>
      </c>
      <c r="V46" s="50"/>
    </row>
    <row r="47" spans="1:22" s="51" customFormat="1" ht="18" customHeight="1">
      <c r="A47" s="111"/>
      <c r="B47" s="283" t="s">
        <v>392</v>
      </c>
      <c r="C47" s="872">
        <v>8</v>
      </c>
      <c r="D47" s="874">
        <v>0.1</v>
      </c>
      <c r="E47" s="872">
        <f>C47*1490*12*0.1</f>
        <v>14304</v>
      </c>
      <c r="F47" s="872">
        <v>6</v>
      </c>
      <c r="G47" s="874"/>
      <c r="H47" s="872">
        <f>F47*1490*12*0.1</f>
        <v>10728</v>
      </c>
      <c r="I47" s="872">
        <v>6</v>
      </c>
      <c r="J47" s="874">
        <v>0.1</v>
      </c>
      <c r="K47" s="872">
        <f>I47*1490*12*0.1</f>
        <v>10728</v>
      </c>
      <c r="L47" s="872">
        <v>2</v>
      </c>
      <c r="M47" s="874">
        <v>0.1</v>
      </c>
      <c r="N47" s="872">
        <f>L47*1490*12*0.1</f>
        <v>3576</v>
      </c>
      <c r="O47" s="872">
        <v>8</v>
      </c>
      <c r="P47" s="874">
        <v>0.1</v>
      </c>
      <c r="Q47" s="872">
        <f>O47*P47*1490*12</f>
        <v>14304</v>
      </c>
      <c r="R47" s="874"/>
      <c r="S47" s="874"/>
      <c r="T47" s="872">
        <f>R47*1150*12*0.1</f>
        <v>0</v>
      </c>
      <c r="U47" s="870">
        <f t="shared" si="4"/>
        <v>53640</v>
      </c>
      <c r="V47" s="50"/>
    </row>
    <row r="48" spans="1:22" ht="18" customHeight="1">
      <c r="A48" s="109" t="s">
        <v>549</v>
      </c>
      <c r="B48" s="110" t="s">
        <v>393</v>
      </c>
      <c r="C48" s="872">
        <v>8</v>
      </c>
      <c r="D48" s="876">
        <v>4.4999999999999998E-2</v>
      </c>
      <c r="E48" s="870">
        <f>C48*D48*1490*12</f>
        <v>6436.7999999999993</v>
      </c>
      <c r="F48" s="870">
        <v>6</v>
      </c>
      <c r="G48" s="876">
        <v>4.4999999999999998E-2</v>
      </c>
      <c r="H48" s="870">
        <f>F48*G48*1490*12</f>
        <v>4827.6000000000004</v>
      </c>
      <c r="I48" s="870">
        <v>6</v>
      </c>
      <c r="J48" s="876">
        <v>4.4999999999999998E-2</v>
      </c>
      <c r="K48" s="870">
        <f>I48*J48*1490*12</f>
        <v>4827.6000000000004</v>
      </c>
      <c r="L48" s="870">
        <v>2</v>
      </c>
      <c r="M48" s="876">
        <v>4.4999999999999998E-2</v>
      </c>
      <c r="N48" s="870">
        <f>L48*M48*1490*12</f>
        <v>1609.1999999999998</v>
      </c>
      <c r="O48" s="870">
        <v>8</v>
      </c>
      <c r="P48" s="876">
        <v>4.4999999999999998E-2</v>
      </c>
      <c r="Q48" s="870">
        <f>O48*P48*1490*12</f>
        <v>6436.7999999999993</v>
      </c>
      <c r="R48" s="870">
        <v>3</v>
      </c>
      <c r="S48" s="876">
        <v>4.4999999999999998E-2</v>
      </c>
      <c r="T48" s="872">
        <f>R48*S48*1490*12</f>
        <v>2413.8000000000002</v>
      </c>
      <c r="U48" s="870">
        <f t="shared" si="4"/>
        <v>26551.8</v>
      </c>
      <c r="V48" s="50"/>
    </row>
    <row r="49" spans="1:25" ht="18" customHeight="1">
      <c r="A49" s="109" t="s">
        <v>550</v>
      </c>
      <c r="B49" s="110" t="s">
        <v>241</v>
      </c>
      <c r="C49" s="870">
        <v>32</v>
      </c>
      <c r="D49" s="873">
        <f>0.045</f>
        <v>4.4999999999999998E-2</v>
      </c>
      <c r="E49" s="870">
        <f>C49*D49*1490*12</f>
        <v>25747.199999999997</v>
      </c>
      <c r="F49" s="870">
        <v>37</v>
      </c>
      <c r="G49" s="873">
        <f>0.045</f>
        <v>4.4999999999999998E-2</v>
      </c>
      <c r="H49" s="870">
        <f>F49*G49*1490*12</f>
        <v>29770.199999999997</v>
      </c>
      <c r="I49" s="870">
        <v>29</v>
      </c>
      <c r="J49" s="873">
        <f>0.045</f>
        <v>4.4999999999999998E-2</v>
      </c>
      <c r="K49" s="870">
        <f>I49*J49*1490*12</f>
        <v>23333.399999999998</v>
      </c>
      <c r="L49" s="870">
        <v>42</v>
      </c>
      <c r="M49" s="873">
        <f>0.045</f>
        <v>4.4999999999999998E-2</v>
      </c>
      <c r="N49" s="870">
        <f>L49*M49*1490*12</f>
        <v>33793.199999999997</v>
      </c>
      <c r="O49" s="870">
        <v>33</v>
      </c>
      <c r="P49" s="873">
        <f>0.045</f>
        <v>4.4999999999999998E-2</v>
      </c>
      <c r="Q49" s="870">
        <f>O49*P49*1490*12</f>
        <v>26551.799999999996</v>
      </c>
      <c r="R49" s="870">
        <v>58</v>
      </c>
      <c r="S49" s="873">
        <f>0.045</f>
        <v>4.4999999999999998E-2</v>
      </c>
      <c r="T49" s="870">
        <f>R49*S49*1490*12</f>
        <v>46666.799999999996</v>
      </c>
      <c r="U49" s="870">
        <f t="shared" si="4"/>
        <v>185862.59999999998</v>
      </c>
      <c r="V49" s="50"/>
      <c r="W49" s="348"/>
      <c r="X49" s="348"/>
      <c r="Y49" s="348"/>
    </row>
    <row r="50" spans="1:25" ht="18" customHeight="1">
      <c r="A50" s="109" t="s">
        <v>549</v>
      </c>
      <c r="B50" s="110" t="s">
        <v>1160</v>
      </c>
      <c r="C50" s="870">
        <v>87</v>
      </c>
      <c r="D50" s="873">
        <f>0.045</f>
        <v>4.4999999999999998E-2</v>
      </c>
      <c r="E50" s="870">
        <f>C50*D50*1490*12</f>
        <v>70000.200000000012</v>
      </c>
      <c r="F50" s="870">
        <f>82+6</f>
        <v>88</v>
      </c>
      <c r="G50" s="873">
        <v>4.4999999999999998E-2</v>
      </c>
      <c r="H50" s="870">
        <f>F50*G50*1490*12</f>
        <v>70804.799999999988</v>
      </c>
      <c r="I50" s="870">
        <v>332</v>
      </c>
      <c r="J50" s="873">
        <v>4.4999999999999998E-2</v>
      </c>
      <c r="K50" s="870">
        <f>I50*J50*1490*12</f>
        <v>267127.19999999995</v>
      </c>
      <c r="L50" s="870">
        <v>249</v>
      </c>
      <c r="M50" s="873">
        <v>4.4999999999999998E-2</v>
      </c>
      <c r="N50" s="870">
        <f>L50*M50*1490*12</f>
        <v>200345.40000000002</v>
      </c>
      <c r="O50" s="870">
        <v>128</v>
      </c>
      <c r="P50" s="873">
        <f>0.045</f>
        <v>4.4999999999999998E-2</v>
      </c>
      <c r="Q50" s="870">
        <f>O50*P50*1490*12</f>
        <v>102988.79999999999</v>
      </c>
      <c r="R50" s="870">
        <v>199</v>
      </c>
      <c r="S50" s="873">
        <v>4.4999999999999998E-2</v>
      </c>
      <c r="T50" s="870">
        <f>R50*S50*1490*12</f>
        <v>160115.40000000002</v>
      </c>
      <c r="U50" s="870">
        <f>SUM(E50+H50+K50+N50+Q50+T50)</f>
        <v>871381.79999999993</v>
      </c>
      <c r="V50" s="50"/>
      <c r="W50" s="348"/>
      <c r="X50" s="348"/>
      <c r="Y50" s="348"/>
    </row>
    <row r="51" spans="1:25" ht="18" customHeight="1">
      <c r="A51" s="109" t="s">
        <v>551</v>
      </c>
      <c r="B51" s="110" t="s">
        <v>242</v>
      </c>
      <c r="C51" s="870"/>
      <c r="D51" s="870"/>
      <c r="E51" s="870"/>
      <c r="F51" s="870"/>
      <c r="G51" s="870"/>
      <c r="H51" s="870"/>
      <c r="I51" s="870"/>
      <c r="J51" s="870"/>
      <c r="K51" s="870"/>
      <c r="L51" s="870"/>
      <c r="M51" s="870"/>
      <c r="N51" s="870"/>
      <c r="O51" s="870"/>
      <c r="P51" s="870"/>
      <c r="Q51" s="870"/>
      <c r="R51" s="870"/>
      <c r="S51" s="870"/>
      <c r="T51" s="870"/>
      <c r="U51" s="870"/>
      <c r="V51" s="50"/>
    </row>
    <row r="52" spans="1:25" s="51" customFormat="1" ht="18" customHeight="1">
      <c r="A52" s="111"/>
      <c r="B52" s="283" t="s">
        <v>243</v>
      </c>
      <c r="C52" s="872">
        <v>3</v>
      </c>
      <c r="D52" s="872">
        <v>120</v>
      </c>
      <c r="E52" s="872">
        <f>C52*D52*12</f>
        <v>4320</v>
      </c>
      <c r="F52" s="872">
        <v>2</v>
      </c>
      <c r="G52" s="872">
        <v>120</v>
      </c>
      <c r="H52" s="872">
        <f>F52*G52*12</f>
        <v>2880</v>
      </c>
      <c r="I52" s="872">
        <v>1</v>
      </c>
      <c r="J52" s="872">
        <v>120</v>
      </c>
      <c r="K52" s="872">
        <f>I52*J52*12</f>
        <v>1440</v>
      </c>
      <c r="L52" s="872">
        <v>4</v>
      </c>
      <c r="M52" s="872">
        <v>120</v>
      </c>
      <c r="N52" s="872">
        <f>L52*M52*12</f>
        <v>5760</v>
      </c>
      <c r="O52" s="872">
        <v>4</v>
      </c>
      <c r="P52" s="872">
        <v>120</v>
      </c>
      <c r="Q52" s="872">
        <f>O52*P52*12</f>
        <v>5760</v>
      </c>
      <c r="R52" s="872">
        <v>4</v>
      </c>
      <c r="S52" s="872">
        <v>120</v>
      </c>
      <c r="T52" s="872">
        <f>R52*S52*12</f>
        <v>5760</v>
      </c>
      <c r="U52" s="870">
        <f>SUM(E52+H52+K52+Q52+T52+N52)</f>
        <v>25920</v>
      </c>
      <c r="V52" s="50"/>
    </row>
    <row r="53" spans="1:25" s="51" customFormat="1" ht="18" customHeight="1">
      <c r="A53" s="111"/>
      <c r="B53" s="283" t="s">
        <v>244</v>
      </c>
      <c r="C53" s="872">
        <v>3</v>
      </c>
      <c r="D53" s="873">
        <f>0.045</f>
        <v>4.4999999999999998E-2</v>
      </c>
      <c r="E53" s="870">
        <f>C53*D53*1490*12</f>
        <v>2413.8000000000002</v>
      </c>
      <c r="F53" s="872">
        <v>2</v>
      </c>
      <c r="G53" s="873">
        <f>0.045</f>
        <v>4.4999999999999998E-2</v>
      </c>
      <c r="H53" s="870">
        <f>F53*G53*1490*12</f>
        <v>1609.1999999999998</v>
      </c>
      <c r="I53" s="872">
        <v>1</v>
      </c>
      <c r="J53" s="873">
        <f>0.045</f>
        <v>4.4999999999999998E-2</v>
      </c>
      <c r="K53" s="870">
        <f>I53*J53*1390*12</f>
        <v>750.59999999999991</v>
      </c>
      <c r="L53" s="872">
        <v>4</v>
      </c>
      <c r="M53" s="873">
        <v>4.4999999999999998E-2</v>
      </c>
      <c r="N53" s="872">
        <f>L53*M53*12*1490</f>
        <v>3218.4</v>
      </c>
      <c r="O53" s="872">
        <v>3</v>
      </c>
      <c r="P53" s="873">
        <f>0.045</f>
        <v>4.4999999999999998E-2</v>
      </c>
      <c r="Q53" s="870">
        <f>O53*P53*1490*12</f>
        <v>2413.8000000000002</v>
      </c>
      <c r="R53" s="872">
        <v>4</v>
      </c>
      <c r="S53" s="873">
        <f>0.045</f>
        <v>4.4999999999999998E-2</v>
      </c>
      <c r="T53" s="870">
        <f>R53*S53*1390*12</f>
        <v>3002.3999999999996</v>
      </c>
      <c r="U53" s="870">
        <f>SUM(E53+H53+K53+Q53+T53+N53)</f>
        <v>13408.199999999999</v>
      </c>
      <c r="V53" s="50"/>
    </row>
    <row r="54" spans="1:25" s="50" customFormat="1" ht="18" customHeight="1">
      <c r="A54" s="105">
        <v>5</v>
      </c>
      <c r="B54" s="106" t="s">
        <v>245</v>
      </c>
      <c r="C54" s="869"/>
      <c r="D54" s="869"/>
      <c r="E54" s="869">
        <f>E55+E56+E62</f>
        <v>35000</v>
      </c>
      <c r="F54" s="882"/>
      <c r="G54" s="882"/>
      <c r="H54" s="869">
        <f>H55+H56+H62</f>
        <v>35000</v>
      </c>
      <c r="I54" s="869"/>
      <c r="J54" s="869"/>
      <c r="K54" s="869">
        <f>K55+K56+K62</f>
        <v>35000</v>
      </c>
      <c r="L54" s="869"/>
      <c r="M54" s="869"/>
      <c r="N54" s="869">
        <f>N55+N56+N62</f>
        <v>35000</v>
      </c>
      <c r="O54" s="869"/>
      <c r="P54" s="869"/>
      <c r="Q54" s="869">
        <f>Q55+Q56+Q62</f>
        <v>35000</v>
      </c>
      <c r="R54" s="869"/>
      <c r="S54" s="869"/>
      <c r="T54" s="869">
        <f>T55+T56+T62</f>
        <v>30000</v>
      </c>
      <c r="U54" s="869">
        <f>U55+U56+U62</f>
        <v>205000</v>
      </c>
    </row>
    <row r="55" spans="1:25" ht="18" customHeight="1">
      <c r="A55" s="109" t="s">
        <v>550</v>
      </c>
      <c r="B55" s="110" t="s">
        <v>512</v>
      </c>
      <c r="C55" s="870"/>
      <c r="D55" s="870"/>
      <c r="E55" s="870">
        <v>35000</v>
      </c>
      <c r="F55" s="870">
        <v>0</v>
      </c>
      <c r="G55" s="870">
        <v>0</v>
      </c>
      <c r="H55" s="870">
        <v>35000</v>
      </c>
      <c r="I55" s="870">
        <v>0</v>
      </c>
      <c r="J55" s="870">
        <v>0</v>
      </c>
      <c r="K55" s="870">
        <v>35000</v>
      </c>
      <c r="L55" s="870">
        <v>0</v>
      </c>
      <c r="M55" s="870">
        <v>0</v>
      </c>
      <c r="N55" s="870">
        <v>35000</v>
      </c>
      <c r="O55" s="870">
        <v>0</v>
      </c>
      <c r="P55" s="870">
        <v>0</v>
      </c>
      <c r="Q55" s="870">
        <v>35000</v>
      </c>
      <c r="R55" s="870">
        <v>0</v>
      </c>
      <c r="S55" s="870">
        <v>0</v>
      </c>
      <c r="T55" s="870">
        <v>30000</v>
      </c>
      <c r="U55" s="870">
        <f>SUM(E55+H55+K55+N55+Q55+T55)</f>
        <v>205000</v>
      </c>
      <c r="V55" s="50"/>
    </row>
    <row r="56" spans="1:25" ht="18" hidden="1" customHeight="1">
      <c r="A56" s="109" t="s">
        <v>550</v>
      </c>
      <c r="B56" s="110" t="s">
        <v>246</v>
      </c>
      <c r="C56" s="870"/>
      <c r="D56" s="870"/>
      <c r="E56" s="870">
        <f>SUM(E57:E60)</f>
        <v>0</v>
      </c>
      <c r="F56" s="870"/>
      <c r="G56" s="870"/>
      <c r="H56" s="870">
        <f>SUM(H57:H60)</f>
        <v>0</v>
      </c>
      <c r="I56" s="870"/>
      <c r="J56" s="870"/>
      <c r="K56" s="870">
        <f>SUM(K57:K60)</f>
        <v>0</v>
      </c>
      <c r="L56" s="870"/>
      <c r="M56" s="870"/>
      <c r="N56" s="870">
        <f>SUM(N57:N60)</f>
        <v>0</v>
      </c>
      <c r="O56" s="870"/>
      <c r="P56" s="870"/>
      <c r="Q56" s="870">
        <f>SUM(Q57:Q60)</f>
        <v>0</v>
      </c>
      <c r="R56" s="870"/>
      <c r="S56" s="870"/>
      <c r="T56" s="870">
        <f>SUM(T57:T61)</f>
        <v>0</v>
      </c>
      <c r="U56" s="870">
        <f t="shared" ref="U56:U61" si="5">SUM(E56+H56+K56+N56+Q56+T56)</f>
        <v>0</v>
      </c>
      <c r="V56" s="50"/>
    </row>
    <row r="57" spans="1:25" ht="18" hidden="1" customHeight="1">
      <c r="A57" s="109"/>
      <c r="B57" s="283"/>
      <c r="C57" s="930"/>
      <c r="D57" s="870"/>
      <c r="E57" s="870"/>
      <c r="F57" s="870"/>
      <c r="G57" s="870"/>
      <c r="H57" s="870"/>
      <c r="I57" s="870"/>
      <c r="J57" s="870"/>
      <c r="K57" s="870"/>
      <c r="L57" s="870"/>
      <c r="M57" s="870"/>
      <c r="N57" s="870"/>
      <c r="O57" s="870"/>
      <c r="P57" s="870"/>
      <c r="Q57" s="870"/>
      <c r="R57" s="870"/>
      <c r="S57" s="870"/>
      <c r="T57" s="870"/>
      <c r="U57" s="870">
        <f t="shared" si="5"/>
        <v>0</v>
      </c>
      <c r="V57" s="50"/>
    </row>
    <row r="58" spans="1:25" ht="18" hidden="1" customHeight="1">
      <c r="A58" s="109"/>
      <c r="B58" s="283"/>
      <c r="C58" s="930"/>
      <c r="D58" s="870"/>
      <c r="E58" s="870"/>
      <c r="F58" s="870"/>
      <c r="G58" s="870"/>
      <c r="H58" s="870"/>
      <c r="I58" s="870"/>
      <c r="J58" s="870"/>
      <c r="K58" s="870"/>
      <c r="L58" s="870"/>
      <c r="M58" s="870"/>
      <c r="N58" s="870"/>
      <c r="O58" s="870"/>
      <c r="P58" s="870"/>
      <c r="Q58" s="870"/>
      <c r="R58" s="870"/>
      <c r="S58" s="870"/>
      <c r="T58" s="870"/>
      <c r="U58" s="870">
        <f t="shared" si="5"/>
        <v>0</v>
      </c>
      <c r="V58" s="50"/>
    </row>
    <row r="59" spans="1:25" ht="18" hidden="1" customHeight="1">
      <c r="A59" s="109"/>
      <c r="B59" s="283"/>
      <c r="C59" s="930"/>
      <c r="D59" s="870"/>
      <c r="E59" s="870"/>
      <c r="F59" s="870"/>
      <c r="G59" s="870"/>
      <c r="H59" s="870"/>
      <c r="I59" s="870"/>
      <c r="J59" s="870"/>
      <c r="K59" s="870"/>
      <c r="L59" s="870"/>
      <c r="M59" s="870"/>
      <c r="N59" s="870"/>
      <c r="O59" s="870"/>
      <c r="P59" s="870"/>
      <c r="Q59" s="870"/>
      <c r="R59" s="870"/>
      <c r="S59" s="870"/>
      <c r="T59" s="870"/>
      <c r="U59" s="870">
        <f t="shared" si="5"/>
        <v>0</v>
      </c>
      <c r="V59" s="50"/>
    </row>
    <row r="60" spans="1:25" ht="18" hidden="1" customHeight="1">
      <c r="A60" s="109"/>
      <c r="B60" s="283"/>
      <c r="C60" s="930"/>
      <c r="D60" s="870"/>
      <c r="E60" s="870"/>
      <c r="F60" s="870"/>
      <c r="G60" s="870"/>
      <c r="H60" s="870"/>
      <c r="I60" s="870"/>
      <c r="J60" s="870"/>
      <c r="K60" s="870"/>
      <c r="L60" s="870"/>
      <c r="M60" s="870"/>
      <c r="N60" s="870"/>
      <c r="O60" s="870"/>
      <c r="P60" s="870"/>
      <c r="Q60" s="870"/>
      <c r="R60" s="870"/>
      <c r="S60" s="870"/>
      <c r="T60" s="870"/>
      <c r="U60" s="870">
        <f t="shared" si="5"/>
        <v>0</v>
      </c>
      <c r="V60" s="50"/>
    </row>
    <row r="61" spans="1:25" ht="18" hidden="1" customHeight="1">
      <c r="A61" s="109"/>
      <c r="B61" s="283"/>
      <c r="C61" s="930"/>
      <c r="D61" s="870"/>
      <c r="E61" s="870"/>
      <c r="F61" s="870"/>
      <c r="G61" s="870"/>
      <c r="H61" s="870"/>
      <c r="I61" s="870"/>
      <c r="J61" s="870"/>
      <c r="K61" s="870"/>
      <c r="L61" s="870"/>
      <c r="M61" s="870"/>
      <c r="N61" s="870"/>
      <c r="O61" s="870"/>
      <c r="P61" s="870"/>
      <c r="Q61" s="870"/>
      <c r="R61" s="870"/>
      <c r="S61" s="870"/>
      <c r="T61" s="870"/>
      <c r="U61" s="870">
        <f t="shared" si="5"/>
        <v>0</v>
      </c>
      <c r="V61" s="50"/>
    </row>
    <row r="62" spans="1:25" ht="18" hidden="1" customHeight="1">
      <c r="A62" s="109" t="s">
        <v>550</v>
      </c>
      <c r="B62" s="110" t="s">
        <v>1652</v>
      </c>
      <c r="C62" s="930"/>
      <c r="D62" s="870"/>
      <c r="E62" s="870"/>
      <c r="F62" s="870"/>
      <c r="G62" s="870"/>
      <c r="H62" s="870"/>
      <c r="I62" s="870"/>
      <c r="J62" s="870"/>
      <c r="K62" s="870"/>
      <c r="L62" s="870"/>
      <c r="M62" s="870"/>
      <c r="N62" s="870"/>
      <c r="O62" s="870"/>
      <c r="P62" s="870"/>
      <c r="Q62" s="870"/>
      <c r="R62" s="870"/>
      <c r="S62" s="870"/>
      <c r="T62" s="870"/>
      <c r="U62" s="870"/>
      <c r="V62" s="50"/>
    </row>
    <row r="63" spans="1:25" s="50" customFormat="1" ht="18" customHeight="1">
      <c r="A63" s="105">
        <v>6</v>
      </c>
      <c r="B63" s="106" t="s">
        <v>249</v>
      </c>
      <c r="C63" s="869"/>
      <c r="D63" s="883"/>
      <c r="E63" s="869">
        <f>E64+E65+E66+E67+E68</f>
        <v>208916.12</v>
      </c>
      <c r="F63" s="869"/>
      <c r="G63" s="869"/>
      <c r="H63" s="869">
        <f>H64+H65+H66+H67+H68</f>
        <v>205715.59999999998</v>
      </c>
      <c r="I63" s="869"/>
      <c r="J63" s="869"/>
      <c r="K63" s="869">
        <f>K64+K65+K66+K67+K68</f>
        <v>191948</v>
      </c>
      <c r="L63" s="869"/>
      <c r="M63" s="869"/>
      <c r="N63" s="869">
        <f>N64+N65+N66+N67+N68</f>
        <v>197133.19999999998</v>
      </c>
      <c r="O63" s="869"/>
      <c r="P63" s="869"/>
      <c r="Q63" s="869">
        <f>Q64+Q65+Q66+Q67+Q68</f>
        <v>206146.508</v>
      </c>
      <c r="R63" s="869"/>
      <c r="S63" s="869"/>
      <c r="T63" s="869">
        <f>T64+T65+T66+T67+T68</f>
        <v>193807.2</v>
      </c>
      <c r="U63" s="869">
        <f>U64+U65+U66+U67+U68</f>
        <v>1203666.628</v>
      </c>
    </row>
    <row r="64" spans="1:25" ht="18" customHeight="1">
      <c r="A64" s="109"/>
      <c r="B64" s="110" t="s">
        <v>512</v>
      </c>
      <c r="C64" s="870"/>
      <c r="D64" s="869"/>
      <c r="E64" s="870">
        <v>40000</v>
      </c>
      <c r="F64" s="870"/>
      <c r="G64" s="870"/>
      <c r="H64" s="870">
        <v>40000</v>
      </c>
      <c r="I64" s="870"/>
      <c r="J64" s="870"/>
      <c r="K64" s="870">
        <v>40000</v>
      </c>
      <c r="L64" s="870"/>
      <c r="M64" s="870"/>
      <c r="N64" s="870">
        <v>40000</v>
      </c>
      <c r="O64" s="870"/>
      <c r="P64" s="870"/>
      <c r="Q64" s="870">
        <v>40000</v>
      </c>
      <c r="R64" s="870"/>
      <c r="S64" s="870"/>
      <c r="T64" s="870">
        <v>40000</v>
      </c>
      <c r="U64" s="870">
        <f>SUM(E64+H64+K64+N64+Q64+T64)</f>
        <v>240000</v>
      </c>
      <c r="V64" s="50"/>
    </row>
    <row r="65" spans="1:27" ht="31.5" customHeight="1">
      <c r="A65" s="109"/>
      <c r="B65" s="166" t="s">
        <v>250</v>
      </c>
      <c r="C65" s="877">
        <v>18</v>
      </c>
      <c r="D65" s="884">
        <v>4.1689999999999996</v>
      </c>
      <c r="E65" s="877">
        <f>D65*1490*12</f>
        <v>74541.72</v>
      </c>
      <c r="F65" s="877">
        <v>16</v>
      </c>
      <c r="G65" s="885">
        <v>4.2699999999999996</v>
      </c>
      <c r="H65" s="877">
        <f>G65*1490*12</f>
        <v>76347.599999999991</v>
      </c>
      <c r="I65" s="877">
        <v>7</v>
      </c>
      <c r="J65" s="878">
        <v>3.64</v>
      </c>
      <c r="K65" s="877">
        <f>J65*1490*12</f>
        <v>65083.200000000004</v>
      </c>
      <c r="L65" s="877">
        <v>17</v>
      </c>
      <c r="M65" s="885">
        <v>3.51</v>
      </c>
      <c r="N65" s="877">
        <f>M65*1490*12</f>
        <v>62758.799999999996</v>
      </c>
      <c r="O65" s="886">
        <v>18</v>
      </c>
      <c r="P65" s="887">
        <v>4.2941000000000003</v>
      </c>
      <c r="Q65" s="877">
        <f>P65*1490*12</f>
        <v>76778.508000000002</v>
      </c>
      <c r="R65" s="885">
        <v>15</v>
      </c>
      <c r="S65" s="878"/>
      <c r="T65" s="877">
        <v>61936</v>
      </c>
      <c r="U65" s="877">
        <f>SUM(E65+H65+K65+N65+Q65+T65)</f>
        <v>417445.82799999998</v>
      </c>
      <c r="V65" s="50"/>
      <c r="W65" s="167"/>
      <c r="X65" s="167"/>
      <c r="Y65" s="167"/>
      <c r="Z65" s="167"/>
      <c r="AA65" s="167"/>
    </row>
    <row r="66" spans="1:27" ht="18" customHeight="1">
      <c r="A66" s="109"/>
      <c r="B66" s="254" t="s">
        <v>302</v>
      </c>
      <c r="C66" s="870"/>
      <c r="D66" s="875"/>
      <c r="E66" s="870">
        <v>15000</v>
      </c>
      <c r="F66" s="870"/>
      <c r="G66" s="881"/>
      <c r="H66" s="870">
        <v>15000</v>
      </c>
      <c r="I66" s="870"/>
      <c r="J66" s="875"/>
      <c r="K66" s="870">
        <v>15000</v>
      </c>
      <c r="L66" s="881"/>
      <c r="M66" s="881"/>
      <c r="N66" s="870">
        <v>15000</v>
      </c>
      <c r="O66" s="870"/>
      <c r="P66" s="875"/>
      <c r="Q66" s="870">
        <v>15000</v>
      </c>
      <c r="R66" s="881"/>
      <c r="S66" s="875"/>
      <c r="T66" s="870">
        <v>15000</v>
      </c>
      <c r="U66" s="870">
        <f>SUM(E66+H66+K66+N66+Q66+T66)</f>
        <v>90000</v>
      </c>
      <c r="V66" s="50"/>
    </row>
    <row r="67" spans="1:27" ht="18" customHeight="1">
      <c r="A67" s="109"/>
      <c r="B67" s="254" t="s">
        <v>767</v>
      </c>
      <c r="C67" s="870"/>
      <c r="D67" s="875"/>
      <c r="E67" s="870">
        <f>30*7*0.08*1490+31*0.08*1490*12</f>
        <v>69374.399999999994</v>
      </c>
      <c r="F67" s="870"/>
      <c r="G67" s="881"/>
      <c r="H67" s="870">
        <f>31*0.08*12*1490+24*0.08*7*1490</f>
        <v>64367.999999999993</v>
      </c>
      <c r="I67" s="870"/>
      <c r="J67" s="875"/>
      <c r="K67" s="870">
        <f>31*0.08*1490*12+21*0.08*1490*7</f>
        <v>61864.799999999988</v>
      </c>
      <c r="L67" s="881"/>
      <c r="M67" s="881"/>
      <c r="N67" s="870">
        <f>31*0.08*1490*12+30*0.08*1490*7</f>
        <v>69374.399999999994</v>
      </c>
      <c r="O67" s="870"/>
      <c r="P67" s="875"/>
      <c r="Q67" s="870">
        <f>31*0.08*1490*12+24*0.08*1490*7</f>
        <v>64367.999999999993</v>
      </c>
      <c r="R67" s="881"/>
      <c r="S67" s="875"/>
      <c r="T67" s="870">
        <f>31*0.08*12*1490+27*0.08*1490*7</f>
        <v>66871.199999999997</v>
      </c>
      <c r="U67" s="870">
        <f>SUM(E67+H67+K67+N67+Q67+T67)</f>
        <v>396220.8</v>
      </c>
      <c r="V67" s="50"/>
    </row>
    <row r="68" spans="1:27" ht="18" customHeight="1">
      <c r="A68" s="109"/>
      <c r="B68" s="254" t="s">
        <v>1625</v>
      </c>
      <c r="C68" s="870"/>
      <c r="D68" s="875"/>
      <c r="E68" s="870">
        <v>10000</v>
      </c>
      <c r="F68" s="870"/>
      <c r="G68" s="881"/>
      <c r="H68" s="870">
        <v>10000</v>
      </c>
      <c r="I68" s="870"/>
      <c r="J68" s="875"/>
      <c r="K68" s="870">
        <v>10000</v>
      </c>
      <c r="L68" s="881"/>
      <c r="M68" s="881"/>
      <c r="N68" s="870">
        <v>10000</v>
      </c>
      <c r="O68" s="870"/>
      <c r="P68" s="875"/>
      <c r="Q68" s="870">
        <v>10000</v>
      </c>
      <c r="R68" s="881"/>
      <c r="S68" s="875"/>
      <c r="T68" s="870">
        <v>10000</v>
      </c>
      <c r="U68" s="870">
        <f>SUM(E68+H68+K68+N68+Q68+T68)</f>
        <v>60000</v>
      </c>
      <c r="V68" s="50"/>
    </row>
    <row r="69" spans="1:27" s="50" customFormat="1" ht="18" customHeight="1">
      <c r="A69" s="105"/>
      <c r="B69" s="106" t="s">
        <v>303</v>
      </c>
      <c r="C69" s="888"/>
      <c r="D69" s="869"/>
      <c r="E69" s="869">
        <f>E8+E35+E41+E63+E54</f>
        <v>4239107.9550000001</v>
      </c>
      <c r="F69" s="869"/>
      <c r="G69" s="869"/>
      <c r="H69" s="869">
        <f>(H8+H35+H54+H63+H41)</f>
        <v>4075271.9424999999</v>
      </c>
      <c r="I69" s="869"/>
      <c r="J69" s="869"/>
      <c r="K69" s="869">
        <f>(K8+K35+K54+K63+K41)</f>
        <v>4336293.7645000005</v>
      </c>
      <c r="L69" s="869"/>
      <c r="M69" s="869"/>
      <c r="N69" s="869">
        <f>N8+N35+N41+N63+N54</f>
        <v>4275484.3289999999</v>
      </c>
      <c r="O69" s="869"/>
      <c r="P69" s="869"/>
      <c r="Q69" s="869">
        <f>Q8+Q35+Q41+Q63+Q54</f>
        <v>4211095.7905000001</v>
      </c>
      <c r="R69" s="869"/>
      <c r="S69" s="869"/>
      <c r="T69" s="869">
        <f>T8+T35+T41+T63+T54</f>
        <v>4047319.2920000008</v>
      </c>
      <c r="U69" s="869">
        <f>U8+U35+U41+U63+U54</f>
        <v>25184573.073499996</v>
      </c>
    </row>
    <row r="70" spans="1:27" s="50" customFormat="1" ht="18" customHeight="1">
      <c r="A70" s="105">
        <v>7</v>
      </c>
      <c r="B70" s="106" t="s">
        <v>251</v>
      </c>
      <c r="C70" s="869"/>
      <c r="D70" s="869"/>
      <c r="E70" s="869">
        <f>SUM(E71:E73)</f>
        <v>243963.87729999999</v>
      </c>
      <c r="F70" s="869">
        <v>0</v>
      </c>
      <c r="G70" s="869">
        <v>0</v>
      </c>
      <c r="H70" s="869">
        <f>SUM(H71:H73)</f>
        <v>235190.00855</v>
      </c>
      <c r="I70" s="869">
        <v>0</v>
      </c>
      <c r="J70" s="869">
        <v>0</v>
      </c>
      <c r="K70" s="869">
        <f>SUM(K71:K73)</f>
        <v>238754.49786999999</v>
      </c>
      <c r="L70" s="869">
        <v>0</v>
      </c>
      <c r="M70" s="869">
        <v>0</v>
      </c>
      <c r="N70" s="869">
        <f>SUM(N71:N73)</f>
        <v>264882.28774</v>
      </c>
      <c r="O70" s="869">
        <v>0</v>
      </c>
      <c r="P70" s="869">
        <v>0</v>
      </c>
      <c r="Q70" s="869">
        <f>SUM(Q71:Q73)</f>
        <v>237930.11542999998</v>
      </c>
      <c r="R70" s="869">
        <v>0</v>
      </c>
      <c r="S70" s="869">
        <v>0</v>
      </c>
      <c r="T70" s="869">
        <f>SUM(T71:T73)</f>
        <v>232711.73352000004</v>
      </c>
      <c r="U70" s="869">
        <f>SUM(U71:U73)</f>
        <v>1453432.5204099999</v>
      </c>
    </row>
    <row r="71" spans="1:27" ht="18" customHeight="1">
      <c r="A71" s="109"/>
      <c r="B71" s="110" t="s">
        <v>304</v>
      </c>
      <c r="C71" s="870"/>
      <c r="D71" s="870"/>
      <c r="E71" s="870">
        <f>6%*(E8+E35+E54+E63)</f>
        <v>233963.87729999999</v>
      </c>
      <c r="F71" s="870"/>
      <c r="G71" s="870"/>
      <c r="H71" s="870">
        <f>6%*(H8+H35+H54+H63)</f>
        <v>227190.00855</v>
      </c>
      <c r="I71" s="870"/>
      <c r="J71" s="870"/>
      <c r="K71" s="870">
        <f>6%*(K8+K35+K54+K63)</f>
        <v>231754.49786999999</v>
      </c>
      <c r="L71" s="870"/>
      <c r="M71" s="870"/>
      <c r="N71" s="870">
        <f>6%*(N8+N35+N54+N63)</f>
        <v>237002.28774</v>
      </c>
      <c r="O71" s="870"/>
      <c r="P71" s="870"/>
      <c r="Q71" s="870">
        <f>6%*(Q8+Q35+Q54+Q63)</f>
        <v>229930.11542999998</v>
      </c>
      <c r="R71" s="870">
        <f>10%*(R8+R35+R54+R63)</f>
        <v>0</v>
      </c>
      <c r="S71" s="870">
        <f>10%*(S8+S35+S54+S63)</f>
        <v>0</v>
      </c>
      <c r="T71" s="870">
        <f>6%*(T8+T35+T54+T63)</f>
        <v>223711.73352000004</v>
      </c>
      <c r="U71" s="870">
        <f t="shared" ref="U71:U77" si="6">SUM(E71+H71+K71+N71+Q71+T71)</f>
        <v>1383552.5204099999</v>
      </c>
      <c r="V71" s="50"/>
    </row>
    <row r="72" spans="1:27" s="167" customFormat="1" ht="18" customHeight="1">
      <c r="A72" s="168"/>
      <c r="B72" s="110" t="s">
        <v>809</v>
      </c>
      <c r="C72" s="889">
        <v>10</v>
      </c>
      <c r="D72" s="870">
        <v>1000</v>
      </c>
      <c r="E72" s="870">
        <v>10000</v>
      </c>
      <c r="F72" s="870">
        <v>8</v>
      </c>
      <c r="G72" s="870">
        <v>1000</v>
      </c>
      <c r="H72" s="870">
        <v>8000</v>
      </c>
      <c r="I72" s="870">
        <v>7</v>
      </c>
      <c r="J72" s="870">
        <v>1000</v>
      </c>
      <c r="K72" s="870">
        <v>7000</v>
      </c>
      <c r="L72" s="870">
        <v>10</v>
      </c>
      <c r="M72" s="870">
        <v>1000</v>
      </c>
      <c r="N72" s="870">
        <v>10000</v>
      </c>
      <c r="O72" s="870">
        <v>8</v>
      </c>
      <c r="P72" s="870">
        <v>1000</v>
      </c>
      <c r="Q72" s="870">
        <v>8000</v>
      </c>
      <c r="R72" s="870">
        <v>9</v>
      </c>
      <c r="S72" s="870">
        <v>1000</v>
      </c>
      <c r="T72" s="870">
        <v>9000</v>
      </c>
      <c r="U72" s="870">
        <f t="shared" si="6"/>
        <v>52000</v>
      </c>
      <c r="V72" s="50"/>
    </row>
    <row r="73" spans="1:27" ht="18" customHeight="1">
      <c r="A73" s="109"/>
      <c r="B73" s="110" t="s">
        <v>749</v>
      </c>
      <c r="C73" s="107"/>
      <c r="D73" s="107"/>
      <c r="E73" s="107"/>
      <c r="F73" s="107"/>
      <c r="G73" s="107"/>
      <c r="H73" s="107"/>
      <c r="I73" s="107"/>
      <c r="J73" s="107"/>
      <c r="K73" s="107"/>
      <c r="L73" s="107">
        <v>1</v>
      </c>
      <c r="M73" s="112">
        <v>1</v>
      </c>
      <c r="N73" s="107">
        <f>1*1490*12</f>
        <v>17880</v>
      </c>
      <c r="O73" s="107"/>
      <c r="P73" s="107"/>
      <c r="Q73" s="107"/>
      <c r="R73" s="107"/>
      <c r="S73" s="107"/>
      <c r="T73" s="107"/>
      <c r="U73" s="107">
        <f t="shared" si="6"/>
        <v>17880</v>
      </c>
      <c r="V73" s="50"/>
    </row>
    <row r="74" spans="1:27" s="50" customFormat="1" ht="28.5">
      <c r="A74" s="890">
        <v>8</v>
      </c>
      <c r="B74" s="106" t="s">
        <v>51</v>
      </c>
      <c r="C74" s="108"/>
      <c r="D74" s="108"/>
      <c r="E74" s="869">
        <f>(E69+E70)*0.5%+10000</f>
        <v>32415.3591615</v>
      </c>
      <c r="F74" s="869">
        <v>0</v>
      </c>
      <c r="G74" s="869">
        <v>0</v>
      </c>
      <c r="H74" s="869">
        <f>(H69+H70)*0.5%+10000</f>
        <v>31552.30975525</v>
      </c>
      <c r="I74" s="869">
        <v>0</v>
      </c>
      <c r="J74" s="869">
        <v>0</v>
      </c>
      <c r="K74" s="869">
        <f>(K69+K70)*0.5%+10000</f>
        <v>32875.241311850004</v>
      </c>
      <c r="L74" s="869">
        <v>0</v>
      </c>
      <c r="M74" s="869">
        <v>4</v>
      </c>
      <c r="N74" s="869">
        <f>(N69+N70)*0.5%+10000</f>
        <v>32701.833083699999</v>
      </c>
      <c r="O74" s="869">
        <v>0</v>
      </c>
      <c r="P74" s="869">
        <v>0</v>
      </c>
      <c r="Q74" s="869">
        <f>(Q69+Q70)*0.5%+10000</f>
        <v>32245.129529650003</v>
      </c>
      <c r="R74" s="869">
        <v>0</v>
      </c>
      <c r="S74" s="869">
        <v>0</v>
      </c>
      <c r="T74" s="869">
        <f>(T69+T70)*0.5%+10000</f>
        <v>31400.155127600003</v>
      </c>
      <c r="U74" s="108">
        <f t="shared" si="6"/>
        <v>193190.02796954999</v>
      </c>
    </row>
    <row r="75" spans="1:27" s="50" customFormat="1" ht="14.25">
      <c r="A75" s="890">
        <v>9</v>
      </c>
      <c r="B75" s="106" t="s">
        <v>216</v>
      </c>
      <c r="C75" s="108"/>
      <c r="D75" s="108"/>
      <c r="E75" s="108"/>
      <c r="F75" s="108"/>
      <c r="G75" s="108"/>
      <c r="H75" s="108"/>
      <c r="I75" s="108"/>
      <c r="J75" s="108"/>
      <c r="K75" s="108"/>
      <c r="L75" s="108"/>
      <c r="M75" s="108"/>
      <c r="N75" s="108"/>
      <c r="O75" s="108"/>
      <c r="P75" s="108"/>
      <c r="Q75" s="108"/>
      <c r="R75" s="108"/>
      <c r="S75" s="108"/>
      <c r="T75" s="108">
        <v>500000</v>
      </c>
      <c r="U75" s="108">
        <f t="shared" si="6"/>
        <v>500000</v>
      </c>
    </row>
    <row r="76" spans="1:27" s="50" customFormat="1" ht="28.5">
      <c r="A76" s="891">
        <v>10</v>
      </c>
      <c r="B76" s="892" t="s">
        <v>1626</v>
      </c>
      <c r="C76" s="114"/>
      <c r="D76" s="114"/>
      <c r="E76" s="114"/>
      <c r="F76" s="114"/>
      <c r="G76" s="114"/>
      <c r="H76" s="114"/>
      <c r="I76" s="114"/>
      <c r="J76" s="114"/>
      <c r="K76" s="114"/>
      <c r="L76" s="114"/>
      <c r="M76" s="114"/>
      <c r="N76" s="114"/>
      <c r="O76" s="114"/>
      <c r="P76" s="114"/>
      <c r="Q76" s="114"/>
      <c r="R76" s="114"/>
      <c r="S76" s="114"/>
      <c r="T76" s="114">
        <v>50000</v>
      </c>
      <c r="U76" s="108">
        <f t="shared" si="6"/>
        <v>50000</v>
      </c>
    </row>
    <row r="77" spans="1:27" s="50" customFormat="1" ht="28.5">
      <c r="A77" s="891">
        <v>11</v>
      </c>
      <c r="B77" s="892" t="s">
        <v>1627</v>
      </c>
      <c r="C77" s="114"/>
      <c r="D77" s="114"/>
      <c r="E77" s="114">
        <v>206800</v>
      </c>
      <c r="F77" s="114"/>
      <c r="G77" s="114"/>
      <c r="H77" s="114">
        <v>177300</v>
      </c>
      <c r="I77" s="114"/>
      <c r="J77" s="114"/>
      <c r="K77" s="114">
        <v>157300</v>
      </c>
      <c r="L77" s="114"/>
      <c r="M77" s="114"/>
      <c r="N77" s="114">
        <v>154800</v>
      </c>
      <c r="O77" s="114"/>
      <c r="P77" s="114"/>
      <c r="Q77" s="114">
        <v>145500</v>
      </c>
      <c r="R77" s="114"/>
      <c r="S77" s="114"/>
      <c r="T77" s="114">
        <v>152300</v>
      </c>
      <c r="U77" s="108">
        <f t="shared" si="6"/>
        <v>994000</v>
      </c>
    </row>
    <row r="78" spans="1:27" s="50" customFormat="1" ht="28.5">
      <c r="A78" s="891">
        <v>12</v>
      </c>
      <c r="B78" s="892" t="s">
        <v>1653</v>
      </c>
      <c r="C78" s="114"/>
      <c r="D78" s="114"/>
      <c r="E78" s="114">
        <v>90000</v>
      </c>
      <c r="F78" s="114"/>
      <c r="G78" s="114"/>
      <c r="H78" s="114">
        <v>90000</v>
      </c>
      <c r="I78" s="114"/>
      <c r="J78" s="114"/>
      <c r="K78" s="114">
        <v>90000</v>
      </c>
      <c r="L78" s="114"/>
      <c r="M78" s="114"/>
      <c r="N78" s="114">
        <v>90000</v>
      </c>
      <c r="O78" s="114"/>
      <c r="P78" s="114"/>
      <c r="Q78" s="114">
        <v>90000</v>
      </c>
      <c r="R78" s="114"/>
      <c r="S78" s="114"/>
      <c r="T78" s="114">
        <v>90000</v>
      </c>
      <c r="U78" s="108">
        <f>SUM(E78+H78+K78+N78+Q78+T78)</f>
        <v>540000</v>
      </c>
    </row>
    <row r="79" spans="1:27" s="50" customFormat="1" ht="30">
      <c r="A79" s="891">
        <v>13</v>
      </c>
      <c r="B79" s="892" t="s">
        <v>1654</v>
      </c>
      <c r="C79" s="114"/>
      <c r="D79" s="114"/>
      <c r="E79" s="114">
        <f>2%*(E69+E70+E74)</f>
        <v>90309.743829229992</v>
      </c>
      <c r="F79" s="114"/>
      <c r="G79" s="114"/>
      <c r="H79" s="114">
        <f>2%*(H69+H70+H74)</f>
        <v>86840.28521610501</v>
      </c>
      <c r="I79" s="114"/>
      <c r="J79" s="114"/>
      <c r="K79" s="114">
        <f>2%*(K69+K70+K74)-11904</f>
        <v>80254.470073637014</v>
      </c>
      <c r="L79" s="114"/>
      <c r="M79" s="114"/>
      <c r="N79" s="114">
        <f>2%*(N69+N70+N74)</f>
        <v>91461.368996474004</v>
      </c>
      <c r="O79" s="114"/>
      <c r="P79" s="114"/>
      <c r="Q79" s="114">
        <f>2%*(Q69+Q70+Q74)</f>
        <v>89625.420709193015</v>
      </c>
      <c r="R79" s="114"/>
      <c r="S79" s="114"/>
      <c r="T79" s="114">
        <f>2%*(T69+T70+T74)+84</f>
        <v>86312.623612952011</v>
      </c>
      <c r="U79" s="114">
        <f>E79+H79+K79+N79+Q79+T79</f>
        <v>524803.912437591</v>
      </c>
    </row>
    <row r="80" spans="1:27" s="50" customFormat="1" ht="14.25">
      <c r="A80" s="99"/>
      <c r="B80" s="904" t="s">
        <v>420</v>
      </c>
      <c r="C80" s="115"/>
      <c r="D80" s="115"/>
      <c r="E80" s="115">
        <f>E8+E35+E41+E54+E63+E70+E74+E79+E77+E78</f>
        <v>4902596.9352907296</v>
      </c>
      <c r="F80" s="115"/>
      <c r="G80" s="115"/>
      <c r="H80" s="115">
        <f>H8+H35+H41+H54+H63+H70+H74+H79+H77+H78</f>
        <v>4696154.5460213553</v>
      </c>
      <c r="I80" s="115"/>
      <c r="J80" s="115"/>
      <c r="K80" s="115">
        <f>K8+K35+K41+K54+K63+K70+K74+K79+K77+K78</f>
        <v>4935477.9737554863</v>
      </c>
      <c r="L80" s="115"/>
      <c r="M80" s="115"/>
      <c r="N80" s="115">
        <f>N8+N35+N41+N54+N63+N70+N74+N79+N77+N78</f>
        <v>4909329.8188201739</v>
      </c>
      <c r="O80" s="115"/>
      <c r="P80" s="115"/>
      <c r="Q80" s="115">
        <f>Q8+Q35+Q41+Q54+Q63+Q70+Q74+Q79+Q77+Q78</f>
        <v>4806396.4561688434</v>
      </c>
      <c r="R80" s="115"/>
      <c r="S80" s="115"/>
      <c r="T80" s="115">
        <f>T8+T35+T41+T54+T63+T70+T74+T79+T77+T78+T76+T75</f>
        <v>5190043.8042605529</v>
      </c>
      <c r="U80" s="115">
        <f>U8+U35+U41+U54+U63+U70+U74+U79+U75+U76+U77+U78</f>
        <v>29439999.53431714</v>
      </c>
    </row>
    <row r="81" spans="1:22" s="50" customFormat="1" ht="14.25">
      <c r="A81" s="240"/>
      <c r="B81" s="931"/>
      <c r="C81" s="932"/>
      <c r="D81" s="932"/>
      <c r="E81" s="932"/>
      <c r="F81" s="932"/>
      <c r="G81" s="932"/>
      <c r="H81" s="932"/>
      <c r="I81" s="932"/>
      <c r="J81" s="932"/>
      <c r="K81" s="932"/>
      <c r="L81" s="932"/>
      <c r="M81" s="932"/>
      <c r="N81" s="932"/>
      <c r="O81" s="932"/>
      <c r="P81" s="932"/>
      <c r="Q81" s="932"/>
      <c r="R81" s="932"/>
      <c r="S81" s="932"/>
      <c r="T81" s="932"/>
      <c r="U81" s="932"/>
    </row>
    <row r="82" spans="1:22" s="50" customFormat="1" ht="14.25">
      <c r="A82" s="240"/>
      <c r="B82" s="931"/>
      <c r="C82" s="932"/>
      <c r="D82" s="932"/>
      <c r="E82" s="932"/>
      <c r="F82" s="932"/>
      <c r="G82" s="932"/>
      <c r="H82" s="932"/>
      <c r="I82" s="932"/>
      <c r="J82" s="932"/>
      <c r="K82" s="932"/>
      <c r="L82" s="932"/>
      <c r="M82" s="932"/>
      <c r="N82" s="932"/>
      <c r="O82" s="932"/>
      <c r="P82" s="932"/>
      <c r="Q82" s="932"/>
      <c r="R82" s="932"/>
      <c r="S82" s="932"/>
      <c r="T82" s="932"/>
      <c r="U82" s="932"/>
    </row>
    <row r="83" spans="1:22" s="50" customFormat="1" ht="14.25">
      <c r="A83" s="240"/>
      <c r="B83" s="931"/>
      <c r="C83" s="932"/>
      <c r="D83" s="932"/>
      <c r="E83" s="932"/>
      <c r="F83" s="932"/>
      <c r="G83" s="932"/>
      <c r="H83" s="932"/>
      <c r="I83" s="932"/>
      <c r="J83" s="932"/>
      <c r="K83" s="932"/>
      <c r="L83" s="932"/>
      <c r="M83" s="932"/>
      <c r="N83" s="932"/>
      <c r="O83" s="932"/>
      <c r="P83" s="932"/>
      <c r="Q83" s="932"/>
      <c r="R83" s="932"/>
      <c r="S83" s="932"/>
      <c r="T83" s="932"/>
      <c r="U83" s="932"/>
    </row>
    <row r="84" spans="1:22" s="50" customFormat="1" ht="14.25">
      <c r="A84" s="240"/>
      <c r="B84" s="931"/>
      <c r="C84" s="932"/>
      <c r="D84" s="932"/>
      <c r="E84" s="932"/>
      <c r="F84" s="932"/>
      <c r="G84" s="932"/>
      <c r="H84" s="932"/>
      <c r="I84" s="932"/>
      <c r="J84" s="932"/>
      <c r="K84" s="932"/>
      <c r="L84" s="932"/>
      <c r="M84" s="932"/>
      <c r="N84" s="932"/>
      <c r="O84" s="932"/>
      <c r="P84" s="932"/>
      <c r="Q84" s="932"/>
      <c r="R84" s="932"/>
      <c r="S84" s="932"/>
      <c r="T84" s="932"/>
      <c r="U84" s="932"/>
    </row>
    <row r="85" spans="1:22" s="50" customFormat="1" ht="14.25">
      <c r="A85" s="240"/>
      <c r="B85" s="931"/>
      <c r="C85" s="932"/>
      <c r="D85" s="932"/>
      <c r="E85" s="932"/>
      <c r="F85" s="932"/>
      <c r="G85" s="932"/>
      <c r="H85" s="932"/>
      <c r="I85" s="932"/>
      <c r="J85" s="932"/>
      <c r="K85" s="932"/>
      <c r="L85" s="932"/>
      <c r="M85" s="932"/>
      <c r="N85" s="932"/>
      <c r="O85" s="932"/>
      <c r="P85" s="932"/>
      <c r="Q85" s="932"/>
      <c r="R85" s="932"/>
      <c r="S85" s="932"/>
      <c r="T85" s="932"/>
      <c r="U85" s="932"/>
    </row>
    <row r="86" spans="1:22" s="50" customFormat="1" ht="14.25">
      <c r="A86" s="240"/>
      <c r="B86" s="931"/>
      <c r="C86" s="932"/>
      <c r="D86" s="932"/>
      <c r="E86" s="932"/>
      <c r="F86" s="932"/>
      <c r="G86" s="932"/>
      <c r="H86" s="932"/>
      <c r="I86" s="932"/>
      <c r="J86" s="932"/>
      <c r="K86" s="932"/>
      <c r="L86" s="932"/>
      <c r="M86" s="932"/>
      <c r="N86" s="932"/>
      <c r="O86" s="932"/>
      <c r="P86" s="932"/>
      <c r="Q86" s="932"/>
      <c r="R86" s="932"/>
      <c r="S86" s="932"/>
      <c r="T86" s="932"/>
      <c r="U86" s="932"/>
    </row>
    <row r="87" spans="1:22" s="50" customFormat="1" ht="14.25">
      <c r="A87" s="240"/>
      <c r="B87" s="931"/>
      <c r="C87" s="932"/>
      <c r="D87" s="932"/>
      <c r="E87" s="932"/>
      <c r="F87" s="932"/>
      <c r="G87" s="932"/>
      <c r="H87" s="932"/>
      <c r="I87" s="932"/>
      <c r="J87" s="932"/>
      <c r="K87" s="932"/>
      <c r="L87" s="932"/>
      <c r="M87" s="932"/>
      <c r="N87" s="932"/>
      <c r="O87" s="932"/>
      <c r="P87" s="932"/>
      <c r="Q87" s="932"/>
      <c r="R87" s="932"/>
      <c r="S87" s="932"/>
      <c r="T87" s="932"/>
      <c r="U87" s="932"/>
    </row>
    <row r="88" spans="1:22" s="50" customFormat="1" ht="14.25">
      <c r="A88" s="240"/>
      <c r="B88" s="931"/>
      <c r="C88" s="932"/>
      <c r="D88" s="932"/>
      <c r="E88" s="932"/>
      <c r="F88" s="932"/>
      <c r="G88" s="932"/>
      <c r="H88" s="932"/>
      <c r="I88" s="932"/>
      <c r="J88" s="932"/>
      <c r="K88" s="932"/>
      <c r="L88" s="932"/>
      <c r="M88" s="932"/>
      <c r="N88" s="932"/>
      <c r="O88" s="932"/>
      <c r="P88" s="932"/>
      <c r="Q88" s="932"/>
      <c r="R88" s="932"/>
      <c r="S88" s="932"/>
      <c r="T88" s="932"/>
      <c r="U88" s="932"/>
    </row>
    <row r="89" spans="1:22" s="50" customFormat="1" ht="14.25">
      <c r="A89" s="240"/>
      <c r="B89" s="931"/>
      <c r="C89" s="932"/>
      <c r="D89" s="932"/>
      <c r="E89" s="932"/>
      <c r="F89" s="932"/>
      <c r="G89" s="932"/>
      <c r="H89" s="932"/>
      <c r="I89" s="932"/>
      <c r="J89" s="932"/>
      <c r="K89" s="932"/>
      <c r="L89" s="932"/>
      <c r="M89" s="932"/>
      <c r="N89" s="932"/>
      <c r="O89" s="932"/>
      <c r="P89" s="932"/>
      <c r="Q89" s="932"/>
      <c r="R89" s="932"/>
      <c r="S89" s="932"/>
      <c r="T89" s="932"/>
      <c r="U89" s="932"/>
    </row>
    <row r="90" spans="1:22" s="50" customFormat="1" ht="14.25">
      <c r="A90" s="240"/>
      <c r="B90" s="931"/>
      <c r="C90" s="932"/>
      <c r="D90" s="932"/>
      <c r="E90" s="932"/>
      <c r="F90" s="932"/>
      <c r="G90" s="932"/>
      <c r="H90" s="932"/>
      <c r="I90" s="932"/>
      <c r="J90" s="932"/>
      <c r="K90" s="932"/>
      <c r="L90" s="932"/>
      <c r="M90" s="932"/>
      <c r="N90" s="932"/>
      <c r="O90" s="932"/>
      <c r="P90" s="932"/>
      <c r="Q90" s="932"/>
      <c r="R90" s="932"/>
      <c r="S90" s="932"/>
      <c r="T90" s="932"/>
      <c r="U90" s="932"/>
    </row>
    <row r="91" spans="1:22" s="50" customFormat="1" ht="14.25">
      <c r="A91" s="240"/>
      <c r="B91" s="931"/>
      <c r="C91" s="932"/>
      <c r="D91" s="932"/>
      <c r="E91" s="932"/>
      <c r="F91" s="932"/>
      <c r="G91" s="932"/>
      <c r="H91" s="932"/>
      <c r="I91" s="932"/>
      <c r="J91" s="932"/>
      <c r="K91" s="932"/>
      <c r="L91" s="932"/>
      <c r="M91" s="932"/>
      <c r="N91" s="932"/>
      <c r="O91" s="932"/>
      <c r="P91" s="932"/>
      <c r="Q91" s="932"/>
      <c r="R91" s="932"/>
      <c r="S91" s="932"/>
      <c r="T91" s="932"/>
      <c r="U91" s="932"/>
    </row>
    <row r="92" spans="1:22" s="50" customFormat="1" ht="14.25">
      <c r="A92" s="240"/>
      <c r="B92" s="931"/>
      <c r="C92" s="932"/>
      <c r="D92" s="932"/>
      <c r="E92" s="932"/>
      <c r="F92" s="932"/>
      <c r="G92" s="932"/>
      <c r="H92" s="932"/>
      <c r="I92" s="932"/>
      <c r="J92" s="932"/>
      <c r="K92" s="932"/>
      <c r="L92" s="932"/>
      <c r="M92" s="932"/>
      <c r="N92" s="932"/>
      <c r="O92" s="932"/>
      <c r="P92" s="932"/>
      <c r="Q92" s="932"/>
      <c r="R92" s="932"/>
      <c r="S92" s="932"/>
      <c r="T92" s="932"/>
      <c r="U92" s="932"/>
    </row>
    <row r="93" spans="1:22" s="50" customFormat="1" ht="14.25">
      <c r="A93" s="240"/>
      <c r="B93" s="931"/>
      <c r="C93" s="932"/>
      <c r="D93" s="932"/>
      <c r="E93" s="932">
        <v>4902600</v>
      </c>
      <c r="F93" s="932"/>
      <c r="G93" s="932"/>
      <c r="H93" s="932">
        <v>4696200</v>
      </c>
      <c r="I93" s="932"/>
      <c r="J93" s="932"/>
      <c r="K93" s="932">
        <v>4935500</v>
      </c>
      <c r="L93" s="932"/>
      <c r="M93" s="932"/>
      <c r="N93" s="932">
        <v>4909300</v>
      </c>
      <c r="O93" s="932"/>
      <c r="P93" s="932"/>
      <c r="Q93" s="932">
        <v>4806400</v>
      </c>
      <c r="R93" s="932"/>
      <c r="S93" s="932"/>
      <c r="T93" s="932">
        <v>5190000</v>
      </c>
      <c r="U93" s="932">
        <f>T93+Q93+N93+K93+H93+E93</f>
        <v>29440000</v>
      </c>
      <c r="V93" s="50">
        <f>U80-U93</f>
        <v>-0.46568286046385765</v>
      </c>
    </row>
    <row r="94" spans="1:22">
      <c r="E94" s="241">
        <v>894800</v>
      </c>
      <c r="F94" s="241"/>
      <c r="G94" s="241"/>
      <c r="H94" s="241">
        <v>1034800</v>
      </c>
      <c r="I94" s="241"/>
      <c r="J94" s="241"/>
      <c r="K94" s="241">
        <v>382000</v>
      </c>
      <c r="L94" s="241"/>
      <c r="M94" s="241"/>
      <c r="N94" s="241">
        <v>404400</v>
      </c>
      <c r="O94" s="241"/>
      <c r="P94" s="241"/>
      <c r="Q94" s="241">
        <v>493000</v>
      </c>
      <c r="R94" s="241"/>
      <c r="S94" s="241"/>
      <c r="T94" s="241">
        <v>619000</v>
      </c>
      <c r="U94" s="932">
        <f>T94+Q94+N94+K94+H94+E94</f>
        <v>3828000</v>
      </c>
    </row>
    <row r="95" spans="1:22">
      <c r="B95" s="49" t="s">
        <v>63</v>
      </c>
      <c r="E95" s="49">
        <f>E93-E94</f>
        <v>4007800</v>
      </c>
      <c r="F95" s="49">
        <f t="shared" ref="F95:S95" si="7">F93-F94</f>
        <v>0</v>
      </c>
      <c r="G95" s="49">
        <f t="shared" si="7"/>
        <v>0</v>
      </c>
      <c r="H95" s="49">
        <f t="shared" si="7"/>
        <v>3661400</v>
      </c>
      <c r="I95" s="49">
        <f t="shared" si="7"/>
        <v>0</v>
      </c>
      <c r="J95" s="49">
        <f t="shared" si="7"/>
        <v>0</v>
      </c>
      <c r="K95" s="49">
        <f>K93-K94</f>
        <v>4553500</v>
      </c>
      <c r="L95" s="49">
        <f t="shared" si="7"/>
        <v>0</v>
      </c>
      <c r="M95" s="49">
        <f t="shared" si="7"/>
        <v>0</v>
      </c>
      <c r="N95" s="49">
        <f t="shared" si="7"/>
        <v>4504900</v>
      </c>
      <c r="O95" s="49">
        <f t="shared" si="7"/>
        <v>0</v>
      </c>
      <c r="P95" s="49">
        <f t="shared" si="7"/>
        <v>0</v>
      </c>
      <c r="Q95" s="49">
        <f>Q93-Q94</f>
        <v>4313400</v>
      </c>
      <c r="R95" s="49">
        <f t="shared" si="7"/>
        <v>0</v>
      </c>
      <c r="S95" s="49">
        <f t="shared" si="7"/>
        <v>0</v>
      </c>
      <c r="T95" s="49">
        <f>T93-T94</f>
        <v>4571000</v>
      </c>
      <c r="U95" s="932">
        <f>T95+Q95+N95+K95+H95+E95</f>
        <v>25612000</v>
      </c>
      <c r="V95" s="49">
        <f>T95+Q95+N95+K95+H95+E95</f>
        <v>25612000</v>
      </c>
    </row>
    <row r="96" spans="1:22">
      <c r="V96" s="242"/>
    </row>
    <row r="97" spans="1:22" ht="15">
      <c r="B97" s="75"/>
      <c r="E97" s="49">
        <f>E93-E79</f>
        <v>4812290.2561707702</v>
      </c>
      <c r="H97" s="49">
        <f t="shared" ref="H97:N97" si="8">H93-H79</f>
        <v>4609359.7147838948</v>
      </c>
      <c r="I97" s="49">
        <f t="shared" si="8"/>
        <v>0</v>
      </c>
      <c r="J97" s="49">
        <f t="shared" si="8"/>
        <v>0</v>
      </c>
      <c r="K97" s="49">
        <f t="shared" si="8"/>
        <v>4855245.5299263634</v>
      </c>
      <c r="L97" s="49">
        <f t="shared" si="8"/>
        <v>0</v>
      </c>
      <c r="M97" s="49">
        <f t="shared" si="8"/>
        <v>0</v>
      </c>
      <c r="N97" s="49">
        <f t="shared" si="8"/>
        <v>4817838.631003526</v>
      </c>
      <c r="O97" s="49">
        <f>O93-O79</f>
        <v>0</v>
      </c>
      <c r="P97" s="49">
        <f>P93-P79</f>
        <v>0</v>
      </c>
      <c r="Q97" s="49">
        <f>Q93-Q79</f>
        <v>4716774.5792908072</v>
      </c>
      <c r="R97" s="49">
        <f>R93-R79</f>
        <v>0</v>
      </c>
      <c r="S97" s="49">
        <f>S93-S79</f>
        <v>0</v>
      </c>
      <c r="T97" s="49">
        <f>T93-T79-T75</f>
        <v>4603687.3763870476</v>
      </c>
      <c r="U97" s="89"/>
      <c r="V97" s="69"/>
    </row>
    <row r="98" spans="1:22" ht="15">
      <c r="B98" s="75"/>
      <c r="E98" s="241">
        <f>E93-E79</f>
        <v>4812290.2561707702</v>
      </c>
      <c r="F98" s="241"/>
      <c r="G98" s="241"/>
      <c r="H98" s="241">
        <f>H93-H79</f>
        <v>4609359.7147838948</v>
      </c>
      <c r="I98" s="241"/>
      <c r="J98" s="241"/>
      <c r="K98" s="241">
        <f>K93-K79</f>
        <v>4855245.5299263634</v>
      </c>
      <c r="L98" s="241"/>
      <c r="M98" s="241"/>
      <c r="N98" s="241">
        <f>N93-N79</f>
        <v>4817838.631003526</v>
      </c>
      <c r="O98" s="241"/>
      <c r="P98" s="241"/>
      <c r="Q98" s="241">
        <f>Q93-Q79</f>
        <v>4716774.5792908072</v>
      </c>
      <c r="R98" s="241"/>
      <c r="S98" s="241"/>
      <c r="T98" s="241">
        <f>T93-T79-T75</f>
        <v>4603687.3763870476</v>
      </c>
      <c r="V98" s="69"/>
    </row>
    <row r="99" spans="1:22" ht="15">
      <c r="B99" s="75"/>
      <c r="O99" s="69"/>
      <c r="P99" s="69"/>
      <c r="Q99" s="69"/>
      <c r="R99" s="69"/>
      <c r="S99" s="69"/>
      <c r="T99" s="69"/>
      <c r="U99" s="89"/>
      <c r="V99" s="69"/>
    </row>
    <row r="100" spans="1:22" ht="15">
      <c r="N100" s="69"/>
      <c r="O100" s="69"/>
      <c r="P100" s="69"/>
      <c r="Q100" s="69"/>
      <c r="R100" s="69"/>
      <c r="S100" s="69"/>
      <c r="T100" s="69"/>
      <c r="U100" s="69"/>
    </row>
    <row r="101" spans="1:22" ht="15">
      <c r="N101" s="69"/>
      <c r="O101" s="69"/>
      <c r="P101" s="69"/>
      <c r="Q101" s="69"/>
      <c r="R101" s="69"/>
      <c r="S101" s="69"/>
      <c r="T101" s="69"/>
      <c r="U101" s="69"/>
    </row>
    <row r="102" spans="1:22" ht="15">
      <c r="N102" s="69"/>
      <c r="O102" s="69"/>
      <c r="P102" s="69"/>
      <c r="Q102" s="69"/>
      <c r="R102" s="69"/>
      <c r="S102" s="69"/>
      <c r="T102" s="69"/>
      <c r="U102" s="69"/>
    </row>
    <row r="103" spans="1:22" ht="15">
      <c r="N103" s="69"/>
      <c r="O103" s="69"/>
      <c r="P103" s="69"/>
      <c r="Q103" s="69"/>
      <c r="R103" s="69"/>
      <c r="S103" s="69"/>
      <c r="T103" s="69"/>
      <c r="U103" s="69"/>
    </row>
    <row r="104" spans="1:22" ht="15">
      <c r="N104" s="69"/>
      <c r="O104" s="69"/>
      <c r="P104" s="69"/>
      <c r="Q104" s="69"/>
      <c r="R104" s="69"/>
      <c r="S104" s="69"/>
      <c r="T104" s="69"/>
      <c r="U104" s="69"/>
    </row>
    <row r="105" spans="1:22" ht="15">
      <c r="N105" s="69"/>
      <c r="O105" s="69"/>
      <c r="P105" s="69"/>
      <c r="Q105" s="69"/>
      <c r="R105" s="69"/>
      <c r="S105" s="69"/>
      <c r="T105" s="69"/>
      <c r="U105" s="69"/>
    </row>
    <row r="106" spans="1:22" s="81" customFormat="1" ht="13.5">
      <c r="B106" s="82"/>
      <c r="N106" s="83"/>
      <c r="O106" s="83"/>
      <c r="P106" s="83"/>
      <c r="Q106" s="83"/>
      <c r="R106" s="83"/>
      <c r="S106" s="83"/>
      <c r="T106" s="83"/>
      <c r="U106" s="83"/>
    </row>
    <row r="107" spans="1:22" s="83" customFormat="1" ht="13.5">
      <c r="B107" s="87"/>
    </row>
    <row r="108" spans="1:22" s="83" customFormat="1" ht="13.5">
      <c r="B108" s="87"/>
    </row>
    <row r="109" spans="1:22" s="74" customFormat="1" ht="15">
      <c r="A109" s="85"/>
      <c r="O109" s="86"/>
      <c r="P109" s="86"/>
      <c r="R109" s="86"/>
      <c r="S109" s="86"/>
      <c r="U109" s="83"/>
    </row>
    <row r="110" spans="1:22" s="75" customFormat="1" ht="15">
      <c r="A110" s="84"/>
      <c r="N110" s="907"/>
      <c r="O110" s="907"/>
      <c r="P110" s="907"/>
      <c r="Q110" s="907"/>
      <c r="R110" s="907"/>
      <c r="S110" s="907"/>
      <c r="T110" s="907"/>
      <c r="U110" s="907"/>
    </row>
    <row r="111" spans="1:22" s="75" customFormat="1" ht="15">
      <c r="A111" s="84"/>
      <c r="N111" s="907"/>
      <c r="O111" s="907"/>
      <c r="P111" s="907"/>
      <c r="Q111" s="907"/>
      <c r="R111" s="907"/>
      <c r="S111" s="907"/>
      <c r="T111" s="907"/>
      <c r="U111" s="907"/>
    </row>
    <row r="112" spans="1:22" s="75" customFormat="1" ht="15">
      <c r="A112" s="84"/>
      <c r="N112" s="907"/>
      <c r="O112" s="907"/>
      <c r="P112" s="907"/>
      <c r="Q112" s="907"/>
      <c r="R112" s="907"/>
      <c r="S112" s="907"/>
      <c r="T112" s="907"/>
      <c r="U112" s="907"/>
    </row>
    <row r="113" spans="1:21" s="75" customFormat="1" ht="15">
      <c r="A113" s="84"/>
      <c r="N113" s="907"/>
      <c r="O113" s="907"/>
      <c r="P113" s="907"/>
      <c r="Q113" s="907"/>
      <c r="R113" s="907"/>
      <c r="S113" s="907"/>
      <c r="T113" s="907"/>
      <c r="U113" s="907"/>
    </row>
    <row r="114" spans="1:21" ht="15">
      <c r="N114" s="69"/>
      <c r="O114" s="69"/>
      <c r="P114" s="69"/>
      <c r="Q114" s="69"/>
      <c r="R114" s="69"/>
      <c r="S114" s="69"/>
      <c r="T114" s="69"/>
      <c r="U114" s="69"/>
    </row>
    <row r="115" spans="1:21" ht="15">
      <c r="N115" s="69"/>
      <c r="O115" s="69"/>
      <c r="P115" s="69"/>
      <c r="Q115" s="69"/>
      <c r="R115" s="69"/>
      <c r="S115" s="69"/>
      <c r="T115" s="69"/>
      <c r="U115" s="69"/>
    </row>
    <row r="116" spans="1:21" ht="15">
      <c r="N116" s="69"/>
      <c r="O116" s="69"/>
      <c r="P116" s="69"/>
      <c r="Q116" s="69"/>
      <c r="R116" s="69"/>
      <c r="S116" s="69"/>
      <c r="T116" s="69"/>
      <c r="U116" s="69"/>
    </row>
    <row r="117" spans="1:21" ht="15">
      <c r="N117" s="69"/>
      <c r="O117" s="69"/>
      <c r="P117" s="69"/>
      <c r="Q117" s="69"/>
      <c r="R117" s="69"/>
      <c r="S117" s="69"/>
      <c r="T117" s="69"/>
      <c r="U117" s="69"/>
    </row>
    <row r="118" spans="1:21" ht="15">
      <c r="N118" s="69"/>
      <c r="O118" s="69"/>
      <c r="P118" s="69"/>
      <c r="Q118" s="69"/>
      <c r="R118" s="69"/>
      <c r="S118" s="69"/>
      <c r="T118" s="69"/>
      <c r="U118" s="69"/>
    </row>
    <row r="119" spans="1:21" ht="15">
      <c r="N119" s="69"/>
      <c r="O119" s="69"/>
      <c r="P119" s="69"/>
      <c r="Q119" s="69"/>
      <c r="R119" s="69"/>
      <c r="S119" s="69"/>
      <c r="T119" s="69"/>
      <c r="U119" s="69"/>
    </row>
    <row r="120" spans="1:21" ht="15">
      <c r="N120" s="69"/>
      <c r="O120" s="69"/>
      <c r="P120" s="69"/>
      <c r="Q120" s="69"/>
      <c r="R120" s="69"/>
      <c r="S120" s="69"/>
      <c r="T120" s="69"/>
      <c r="U120" s="69"/>
    </row>
    <row r="121" spans="1:21" ht="15">
      <c r="N121" s="69"/>
      <c r="O121" s="69"/>
      <c r="P121" s="69"/>
      <c r="Q121" s="69"/>
      <c r="R121" s="69"/>
      <c r="S121" s="69"/>
      <c r="T121" s="69"/>
      <c r="U121" s="69"/>
    </row>
    <row r="122" spans="1:21" ht="15">
      <c r="N122" s="69"/>
      <c r="O122" s="69"/>
      <c r="P122" s="69"/>
      <c r="Q122" s="69"/>
      <c r="R122" s="69"/>
      <c r="S122" s="69"/>
      <c r="T122" s="69"/>
      <c r="U122" s="69"/>
    </row>
    <row r="123" spans="1:21" ht="15">
      <c r="N123" s="69"/>
      <c r="O123" s="69"/>
      <c r="P123" s="69"/>
      <c r="Q123" s="69"/>
      <c r="R123" s="69"/>
      <c r="S123" s="69"/>
      <c r="T123" s="69"/>
      <c r="U123" s="69"/>
    </row>
    <row r="124" spans="1:21" ht="15">
      <c r="N124" s="69"/>
      <c r="O124" s="69"/>
      <c r="P124" s="69"/>
      <c r="Q124" s="69"/>
      <c r="R124" s="69"/>
      <c r="S124" s="69"/>
      <c r="T124" s="69"/>
      <c r="U124" s="69"/>
    </row>
    <row r="125" spans="1:21" ht="15">
      <c r="N125" s="69"/>
      <c r="O125" s="69"/>
      <c r="P125" s="69"/>
      <c r="Q125" s="69"/>
      <c r="R125" s="69"/>
      <c r="S125" s="69"/>
      <c r="T125" s="69"/>
      <c r="U125" s="69"/>
    </row>
    <row r="126" spans="1:21" ht="15">
      <c r="N126" s="69"/>
      <c r="O126" s="69"/>
      <c r="P126" s="69"/>
      <c r="Q126" s="69"/>
      <c r="R126" s="69"/>
      <c r="S126" s="69"/>
      <c r="T126" s="69"/>
      <c r="U126" s="69"/>
    </row>
    <row r="127" spans="1:21" ht="15">
      <c r="N127" s="69"/>
      <c r="O127" s="69"/>
      <c r="P127" s="69"/>
      <c r="Q127" s="69"/>
      <c r="R127" s="69"/>
      <c r="S127" s="69"/>
      <c r="T127" s="69"/>
      <c r="U127" s="69"/>
    </row>
    <row r="128" spans="1:21" ht="15">
      <c r="N128" s="69"/>
      <c r="O128" s="69"/>
      <c r="P128" s="69"/>
      <c r="Q128" s="69"/>
      <c r="R128" s="69"/>
      <c r="S128" s="69"/>
      <c r="T128" s="69"/>
      <c r="U128" s="69"/>
    </row>
    <row r="129" spans="1:21" ht="15">
      <c r="N129" s="69"/>
      <c r="O129" s="69"/>
      <c r="P129" s="69"/>
      <c r="Q129" s="69"/>
      <c r="R129" s="69"/>
      <c r="S129" s="69"/>
      <c r="T129" s="69"/>
      <c r="U129" s="69"/>
    </row>
    <row r="130" spans="1:21" ht="15">
      <c r="N130" s="69"/>
      <c r="O130" s="69"/>
      <c r="P130" s="69"/>
      <c r="Q130" s="69"/>
      <c r="R130" s="69"/>
      <c r="S130" s="69"/>
      <c r="T130" s="69"/>
      <c r="U130" s="69"/>
    </row>
    <row r="131" spans="1:21" ht="15">
      <c r="N131" s="69"/>
      <c r="O131" s="69"/>
      <c r="P131" s="69"/>
      <c r="Q131" s="69"/>
      <c r="R131" s="69"/>
      <c r="S131" s="69"/>
      <c r="T131" s="69"/>
      <c r="U131" s="69"/>
    </row>
    <row r="132" spans="1:21" ht="15">
      <c r="N132" s="69"/>
      <c r="O132" s="69"/>
      <c r="P132" s="69"/>
      <c r="Q132" s="69"/>
      <c r="R132" s="69"/>
      <c r="S132" s="69"/>
      <c r="T132" s="69"/>
      <c r="U132" s="69"/>
    </row>
    <row r="133" spans="1:21" ht="15">
      <c r="N133" s="69"/>
      <c r="O133" s="69"/>
      <c r="P133" s="69"/>
      <c r="Q133" s="69"/>
      <c r="R133" s="69"/>
      <c r="S133" s="69"/>
      <c r="T133" s="69"/>
      <c r="U133" s="69"/>
    </row>
    <row r="134" spans="1:21" ht="15">
      <c r="N134" s="69"/>
      <c r="O134" s="69"/>
      <c r="P134" s="69"/>
      <c r="Q134" s="69"/>
      <c r="R134" s="69"/>
      <c r="S134" s="69"/>
      <c r="T134" s="69"/>
      <c r="U134" s="69"/>
    </row>
    <row r="135" spans="1:21" ht="15">
      <c r="N135" s="69"/>
      <c r="O135" s="69"/>
      <c r="P135" s="69"/>
      <c r="Q135" s="69"/>
      <c r="R135" s="69"/>
      <c r="S135" s="69"/>
      <c r="T135" s="69"/>
      <c r="U135" s="69"/>
    </row>
    <row r="136" spans="1:21" ht="15">
      <c r="N136" s="69"/>
      <c r="O136" s="69"/>
      <c r="P136" s="69"/>
      <c r="Q136" s="69"/>
      <c r="R136" s="69"/>
      <c r="S136" s="69"/>
      <c r="T136" s="69"/>
      <c r="U136" s="69"/>
    </row>
    <row r="137" spans="1:21" ht="15">
      <c r="N137" s="69"/>
      <c r="O137" s="69"/>
      <c r="P137" s="69"/>
      <c r="Q137" s="69"/>
      <c r="R137" s="69"/>
      <c r="S137" s="69"/>
      <c r="T137" s="69"/>
      <c r="U137" s="69"/>
    </row>
    <row r="138" spans="1:21" ht="15">
      <c r="N138" s="69"/>
      <c r="O138" s="69"/>
      <c r="P138" s="69"/>
      <c r="Q138" s="69"/>
      <c r="R138" s="69"/>
      <c r="S138" s="69"/>
      <c r="T138" s="69"/>
      <c r="U138" s="69"/>
    </row>
    <row r="139" spans="1:21" ht="15">
      <c r="N139" s="69"/>
      <c r="O139" s="69"/>
      <c r="P139" s="69"/>
      <c r="Q139" s="69"/>
      <c r="R139" s="69"/>
      <c r="S139" s="69"/>
      <c r="T139" s="69"/>
      <c r="U139" s="69"/>
    </row>
    <row r="140" spans="1:21" ht="15">
      <c r="N140" s="69"/>
      <c r="O140" s="69"/>
      <c r="P140" s="69"/>
      <c r="Q140" s="69"/>
      <c r="R140" s="69"/>
      <c r="S140" s="69"/>
      <c r="T140" s="69"/>
      <c r="U140" s="69"/>
    </row>
    <row r="141" spans="1:21" ht="15">
      <c r="N141" s="69"/>
      <c r="O141" s="69"/>
      <c r="P141" s="69"/>
      <c r="Q141" s="69"/>
      <c r="R141" s="69"/>
      <c r="S141" s="69"/>
      <c r="T141" s="69"/>
      <c r="U141" s="69"/>
    </row>
    <row r="142" spans="1:21" ht="15">
      <c r="N142" s="69"/>
      <c r="O142" s="69"/>
      <c r="P142" s="69"/>
      <c r="Q142" s="69"/>
      <c r="R142" s="69"/>
      <c r="S142" s="69"/>
      <c r="T142" s="69"/>
      <c r="U142" s="69"/>
    </row>
    <row r="143" spans="1:21" s="50" customFormat="1">
      <c r="A143" s="70"/>
      <c r="B143" s="74"/>
    </row>
    <row r="144" spans="1:21">
      <c r="B144" s="75"/>
    </row>
  </sheetData>
  <mergeCells count="12">
    <mergeCell ref="R5:T5"/>
    <mergeCell ref="U5:U6"/>
    <mergeCell ref="A3:U3"/>
    <mergeCell ref="D4:E4"/>
    <mergeCell ref="Q4:U4"/>
    <mergeCell ref="A5:A6"/>
    <mergeCell ref="B5:B6"/>
    <mergeCell ref="C5:E5"/>
    <mergeCell ref="F5:H5"/>
    <mergeCell ref="I5:K5"/>
    <mergeCell ref="L5:N5"/>
    <mergeCell ref="O5:Q5"/>
  </mergeCells>
  <pageMargins left="0.2" right="0.2" top="0.25" bottom="0.25" header="0.3" footer="0.3"/>
  <pageSetup paperSize="9" scale="75" orientation="landscape" verticalDpi="0" r:id="rId1"/>
  <legacyDrawing r:id="rId2"/>
</worksheet>
</file>

<file path=xl/worksheets/sheet16.xml><?xml version="1.0" encoding="utf-8"?>
<worksheet xmlns="http://schemas.openxmlformats.org/spreadsheetml/2006/main" xmlns:r="http://schemas.openxmlformats.org/officeDocument/2006/relationships">
  <sheetPr enableFormatConditionsCalculation="0">
    <tabColor rgb="FF00B0F0"/>
  </sheetPr>
  <dimension ref="A1:AB121"/>
  <sheetViews>
    <sheetView topLeftCell="A65" workbookViewId="0">
      <selection activeCell="E24" sqref="E24"/>
    </sheetView>
  </sheetViews>
  <sheetFormatPr defaultRowHeight="12.75"/>
  <cols>
    <col min="1" max="1" width="3.5" style="68" customWidth="1"/>
    <col min="2" max="2" width="38.75" style="49" customWidth="1"/>
    <col min="3" max="3" width="5.375" style="49" customWidth="1"/>
    <col min="4" max="4" width="6" style="49" customWidth="1"/>
    <col min="5" max="5" width="7.875" style="49" customWidth="1"/>
    <col min="6" max="6" width="4.875" style="49" customWidth="1"/>
    <col min="7" max="7" width="5.25" style="49" customWidth="1"/>
    <col min="8" max="8" width="7.75" style="49" customWidth="1"/>
    <col min="9" max="9" width="4.625" style="49" customWidth="1"/>
    <col min="10" max="10" width="5.25" style="49" customWidth="1"/>
    <col min="11" max="11" width="7.875" style="49" customWidth="1"/>
    <col min="12" max="12" width="5.875" style="49" customWidth="1"/>
    <col min="13" max="13" width="5.625" style="49" customWidth="1"/>
    <col min="14" max="14" width="8.875" style="49" customWidth="1"/>
    <col min="15" max="15" width="4.75" style="49" customWidth="1"/>
    <col min="16" max="16" width="5.5" style="49" customWidth="1"/>
    <col min="17" max="17" width="8.75" style="49" customWidth="1"/>
    <col min="18" max="19" width="4.75" style="49" customWidth="1"/>
    <col min="20" max="20" width="8.125" style="49" customWidth="1"/>
    <col min="21" max="21" width="8.875" style="49" customWidth="1"/>
    <col min="22" max="22" width="11.375" style="49" customWidth="1"/>
    <col min="23" max="16384" width="9" style="49"/>
  </cols>
  <sheetData>
    <row r="1" spans="1:22" s="46" customFormat="1" ht="15.75">
      <c r="A1" s="65" t="s">
        <v>438</v>
      </c>
      <c r="B1" s="61"/>
      <c r="C1" s="62"/>
      <c r="D1" s="62"/>
      <c r="E1" s="62"/>
      <c r="F1" s="62"/>
      <c r="G1" s="62"/>
      <c r="H1" s="62"/>
      <c r="I1" s="62"/>
      <c r="J1" s="62"/>
      <c r="K1" s="62"/>
      <c r="L1" s="62"/>
      <c r="M1" s="62"/>
      <c r="N1" s="62"/>
      <c r="O1" s="62"/>
      <c r="P1" s="62"/>
      <c r="Q1" s="62"/>
      <c r="R1" s="45"/>
      <c r="S1" s="45"/>
      <c r="T1" s="45"/>
    </row>
    <row r="2" spans="1:22" s="48" customFormat="1" ht="16.5">
      <c r="A2" s="575" t="s">
        <v>650</v>
      </c>
      <c r="B2" s="63"/>
      <c r="C2" s="64"/>
      <c r="D2" s="64"/>
      <c r="E2" s="64"/>
      <c r="F2" s="64"/>
      <c r="G2" s="64"/>
      <c r="H2" s="64"/>
      <c r="I2" s="64"/>
      <c r="J2" s="64"/>
      <c r="K2" s="64"/>
      <c r="L2" s="64"/>
      <c r="M2" s="64"/>
      <c r="N2" s="64"/>
      <c r="O2" s="64"/>
      <c r="P2" s="64"/>
      <c r="Q2" s="64"/>
      <c r="R2" s="47"/>
      <c r="S2" s="47"/>
      <c r="T2" s="47"/>
    </row>
    <row r="3" spans="1:22" s="80" customFormat="1" ht="15">
      <c r="A3" s="78"/>
      <c r="B3" s="79"/>
      <c r="G3" s="282"/>
      <c r="H3" s="581"/>
    </row>
    <row r="4" spans="1:22" s="80" customFormat="1" ht="21.75" customHeight="1">
      <c r="A4" s="1113" t="s">
        <v>1152</v>
      </c>
      <c r="B4" s="1113"/>
      <c r="C4" s="1113"/>
      <c r="D4" s="1113"/>
      <c r="E4" s="1113"/>
      <c r="F4" s="1113"/>
      <c r="G4" s="1113"/>
      <c r="H4" s="1113"/>
      <c r="I4" s="1113"/>
      <c r="J4" s="1113"/>
      <c r="K4" s="1113"/>
      <c r="L4" s="1113"/>
      <c r="M4" s="1113"/>
      <c r="N4" s="1113"/>
      <c r="O4" s="1113"/>
      <c r="P4" s="1113"/>
      <c r="Q4" s="1113"/>
      <c r="R4" s="1113"/>
      <c r="S4" s="1113"/>
      <c r="T4" s="1113"/>
      <c r="U4" s="1113"/>
    </row>
    <row r="5" spans="1:22" s="80" customFormat="1" ht="17.25">
      <c r="A5" s="578"/>
      <c r="B5" s="578"/>
      <c r="C5" s="578"/>
      <c r="D5" s="1114"/>
      <c r="E5" s="1114"/>
      <c r="F5" s="578"/>
      <c r="G5" s="578"/>
      <c r="Q5" s="1115" t="s">
        <v>605</v>
      </c>
      <c r="R5" s="1115"/>
      <c r="S5" s="1115"/>
      <c r="T5" s="1115"/>
      <c r="U5" s="1115"/>
    </row>
    <row r="6" spans="1:22" s="66" customFormat="1" ht="31.5" customHeight="1">
      <c r="A6" s="1116" t="s">
        <v>76</v>
      </c>
      <c r="B6" s="1118" t="s">
        <v>651</v>
      </c>
      <c r="C6" s="1120" t="s">
        <v>652</v>
      </c>
      <c r="D6" s="1121"/>
      <c r="E6" s="1121"/>
      <c r="F6" s="1120" t="s">
        <v>653</v>
      </c>
      <c r="G6" s="1121"/>
      <c r="H6" s="1121"/>
      <c r="I6" s="1120" t="s">
        <v>654</v>
      </c>
      <c r="J6" s="1121"/>
      <c r="K6" s="1121"/>
      <c r="L6" s="1120" t="s">
        <v>1153</v>
      </c>
      <c r="M6" s="1121"/>
      <c r="N6" s="1121"/>
      <c r="O6" s="1120" t="s">
        <v>655</v>
      </c>
      <c r="P6" s="1121"/>
      <c r="Q6" s="1121"/>
      <c r="R6" s="1120" t="s">
        <v>632</v>
      </c>
      <c r="S6" s="1121"/>
      <c r="T6" s="1121"/>
      <c r="U6" s="1111" t="s">
        <v>86</v>
      </c>
    </row>
    <row r="7" spans="1:22" s="67" customFormat="1" ht="43.5" customHeight="1">
      <c r="A7" s="1117"/>
      <c r="B7" s="1119"/>
      <c r="C7" s="579" t="s">
        <v>374</v>
      </c>
      <c r="D7" s="278" t="s">
        <v>375</v>
      </c>
      <c r="E7" s="579" t="s">
        <v>1154</v>
      </c>
      <c r="F7" s="579" t="s">
        <v>374</v>
      </c>
      <c r="G7" s="278" t="s">
        <v>375</v>
      </c>
      <c r="H7" s="579" t="s">
        <v>1154</v>
      </c>
      <c r="I7" s="579" t="s">
        <v>374</v>
      </c>
      <c r="J7" s="278" t="s">
        <v>375</v>
      </c>
      <c r="K7" s="579" t="s">
        <v>1154</v>
      </c>
      <c r="L7" s="579" t="s">
        <v>374</v>
      </c>
      <c r="M7" s="278" t="s">
        <v>375</v>
      </c>
      <c r="N7" s="579" t="s">
        <v>1154</v>
      </c>
      <c r="O7" s="579" t="s">
        <v>374</v>
      </c>
      <c r="P7" s="278" t="s">
        <v>375</v>
      </c>
      <c r="Q7" s="579" t="s">
        <v>1154</v>
      </c>
      <c r="R7" s="579" t="s">
        <v>374</v>
      </c>
      <c r="S7" s="278" t="s">
        <v>375</v>
      </c>
      <c r="T7" s="579" t="s">
        <v>1154</v>
      </c>
      <c r="U7" s="1112"/>
    </row>
    <row r="8" spans="1:22" ht="14.25">
      <c r="A8" s="279">
        <v>1</v>
      </c>
      <c r="B8" s="280" t="s">
        <v>321</v>
      </c>
      <c r="C8" s="281"/>
      <c r="D8" s="281"/>
      <c r="E8" s="281"/>
      <c r="F8" s="281"/>
      <c r="G8" s="281"/>
      <c r="H8" s="281"/>
      <c r="I8" s="281"/>
      <c r="J8" s="281"/>
      <c r="K8" s="281"/>
      <c r="L8" s="281"/>
      <c r="M8" s="281"/>
      <c r="N8" s="281"/>
      <c r="O8" s="281"/>
      <c r="P8" s="281"/>
      <c r="Q8" s="281"/>
      <c r="R8" s="281"/>
      <c r="S8" s="281"/>
      <c r="T8" s="281"/>
      <c r="U8" s="281"/>
      <c r="V8" s="282"/>
    </row>
    <row r="9" spans="1:22" s="50" customFormat="1" ht="14.25">
      <c r="A9" s="105">
        <v>2</v>
      </c>
      <c r="B9" s="106" t="s">
        <v>376</v>
      </c>
      <c r="C9" s="582"/>
      <c r="D9" s="582"/>
      <c r="E9" s="582">
        <f>E10+E15+E14</f>
        <v>3652570.8455000003</v>
      </c>
      <c r="F9" s="582"/>
      <c r="G9" s="582">
        <f t="shared" ref="G9:U9" si="0">G10+G15+G14</f>
        <v>0</v>
      </c>
      <c r="H9" s="582">
        <f t="shared" si="0"/>
        <v>3493118.1101249997</v>
      </c>
      <c r="I9" s="582"/>
      <c r="J9" s="582">
        <f t="shared" si="0"/>
        <v>0</v>
      </c>
      <c r="K9" s="582">
        <f t="shared" si="0"/>
        <v>3582251.4974999996</v>
      </c>
      <c r="L9" s="582"/>
      <c r="M9" s="582">
        <f t="shared" si="0"/>
        <v>0</v>
      </c>
      <c r="N9" s="582">
        <f t="shared" si="0"/>
        <v>3605754.1943374998</v>
      </c>
      <c r="O9" s="582"/>
      <c r="P9" s="582">
        <f t="shared" si="0"/>
        <v>0</v>
      </c>
      <c r="Q9" s="582">
        <f t="shared" si="0"/>
        <v>3772282.1874999995</v>
      </c>
      <c r="R9" s="582"/>
      <c r="S9" s="582">
        <f t="shared" si="0"/>
        <v>0</v>
      </c>
      <c r="T9" s="582">
        <f t="shared" si="0"/>
        <v>3439853.429</v>
      </c>
      <c r="U9" s="582">
        <f t="shared" si="0"/>
        <v>21545830.2639625</v>
      </c>
    </row>
    <row r="10" spans="1:22" ht="15">
      <c r="A10" s="109" t="s">
        <v>548</v>
      </c>
      <c r="B10" s="110" t="s">
        <v>377</v>
      </c>
      <c r="C10" s="583">
        <v>20</v>
      </c>
      <c r="D10" s="583"/>
      <c r="E10" s="583">
        <f>SUM(E11:E13)</f>
        <v>1537446.4740000002</v>
      </c>
      <c r="F10" s="583">
        <v>19</v>
      </c>
      <c r="G10" s="583"/>
      <c r="H10" s="583">
        <f>SUM(H11:H13)</f>
        <v>1505223.0074999998</v>
      </c>
      <c r="I10" s="583">
        <f>20+1</f>
        <v>21</v>
      </c>
      <c r="J10" s="583"/>
      <c r="K10" s="583">
        <f>SUM(K11:K13)</f>
        <v>1618331.1299999997</v>
      </c>
      <c r="L10" s="583">
        <v>20</v>
      </c>
      <c r="M10" s="583"/>
      <c r="N10" s="583">
        <f>SUM(N11:N13)</f>
        <v>1526342.5354499999</v>
      </c>
      <c r="O10" s="583">
        <v>21</v>
      </c>
      <c r="P10" s="583"/>
      <c r="Q10" s="583">
        <f>SUM(Q11:Q13)</f>
        <v>1710388.0499999998</v>
      </c>
      <c r="R10" s="583">
        <v>20</v>
      </c>
      <c r="S10" s="583"/>
      <c r="T10" s="583">
        <f>SUM(T11:T13)</f>
        <v>1410492.4920000001</v>
      </c>
      <c r="U10" s="583">
        <f>SUM(U11:U13)</f>
        <v>9308223.6889500003</v>
      </c>
      <c r="V10" s="50"/>
    </row>
    <row r="11" spans="1:22" s="51" customFormat="1" ht="14.25" customHeight="1">
      <c r="A11" s="111" t="s">
        <v>549</v>
      </c>
      <c r="B11" s="283" t="s">
        <v>378</v>
      </c>
      <c r="C11" s="584"/>
      <c r="D11" s="584">
        <f>53.31+1.85+1.61+0.86+1.8+0.2+2.34*2+0.2</f>
        <v>64.510000000000005</v>
      </c>
      <c r="E11" s="585">
        <f>D11*1390*12</f>
        <v>1076026.8</v>
      </c>
      <c r="F11" s="585"/>
      <c r="G11" s="584">
        <f>(61.19+1.85+1.5175+0.67+2.1+0.1)-(2.67+0.1+2.26+0.1)</f>
        <v>62.297499999999999</v>
      </c>
      <c r="H11" s="585">
        <f>G11*1390*12</f>
        <v>1039122.2999999999</v>
      </c>
      <c r="I11" s="585"/>
      <c r="J11" s="584">
        <f>59.37+1.6+1.48+0.86+2+0.2+2.1+0.1</f>
        <v>67.709999999999994</v>
      </c>
      <c r="K11" s="585">
        <f>J11*1390*12</f>
        <v>1129402.7999999998</v>
      </c>
      <c r="L11" s="585"/>
      <c r="M11" s="584">
        <f>(56.58+0.203+2+1.58565+0.66+1.9+0.3)</f>
        <v>63.228649999999995</v>
      </c>
      <c r="N11" s="585">
        <f>M11*1390*12</f>
        <v>1054653.882</v>
      </c>
      <c r="O11" s="585"/>
      <c r="P11" s="586">
        <f>61.89+2+1.82+0.91+2+0.2+2.34+0.1</f>
        <v>71.259999999999991</v>
      </c>
      <c r="Q11" s="585">
        <f>P11*1390*12</f>
        <v>1188616.7999999998</v>
      </c>
      <c r="R11" s="585"/>
      <c r="S11" s="584">
        <f>52.72+2+0.73+0.2+2.34</f>
        <v>57.989999999999995</v>
      </c>
      <c r="T11" s="585">
        <f>S11*1390*12</f>
        <v>967273.2</v>
      </c>
      <c r="U11" s="583">
        <f>SUM(E11+H11+K11+N11+Q11+T11)</f>
        <v>6455095.7819999997</v>
      </c>
      <c r="V11" s="50"/>
    </row>
    <row r="12" spans="1:22" s="51" customFormat="1" ht="15" hidden="1" customHeight="1">
      <c r="A12" s="111" t="s">
        <v>550</v>
      </c>
      <c r="B12" s="283" t="s">
        <v>379</v>
      </c>
      <c r="C12" s="585"/>
      <c r="D12" s="584">
        <f>(53.31+1.85+1.61+2.34*2)*22.5%+2.34*2*1%</f>
        <v>13.873050000000001</v>
      </c>
      <c r="E12" s="585">
        <f>D12*1390*12</f>
        <v>231402.47400000005</v>
      </c>
      <c r="F12" s="585"/>
      <c r="G12" s="584">
        <f>(61.19+1.85+1.5175-2.67-2.26)*22.5%</f>
        <v>13.416187500000001</v>
      </c>
      <c r="H12" s="585">
        <f>G12*1390*12</f>
        <v>223782.00750000001</v>
      </c>
      <c r="I12" s="585"/>
      <c r="J12" s="584">
        <f>(59.37+1.6+1.48)*22.5%+2.1*1%</f>
        <v>14.07225</v>
      </c>
      <c r="K12" s="585">
        <f>J12*1390*12</f>
        <v>234725.13</v>
      </c>
      <c r="L12" s="585"/>
      <c r="M12" s="584">
        <f>(56.58+0.203+2+1.58565)*22.5%</f>
        <v>13.582946250000001</v>
      </c>
      <c r="N12" s="585">
        <f>M12*1390*12</f>
        <v>226563.54345</v>
      </c>
      <c r="O12" s="585"/>
      <c r="P12" s="584">
        <f>(61.89+2+1.82+2.34)*22.5%</f>
        <v>15.311249999999999</v>
      </c>
      <c r="Q12" s="585">
        <f>P12*1390*12</f>
        <v>255391.65000000002</v>
      </c>
      <c r="R12" s="585"/>
      <c r="S12" s="584">
        <f>(52.72+2+2.34)*22.5%+2.34*1%</f>
        <v>12.861900000000002</v>
      </c>
      <c r="T12" s="585">
        <f>S12*1390*12</f>
        <v>214536.49200000006</v>
      </c>
      <c r="U12" s="583">
        <f>SUM(E12+H12+K12+N12+Q12+T12)</f>
        <v>1386401.2969500003</v>
      </c>
      <c r="V12" s="50"/>
    </row>
    <row r="13" spans="1:22" s="51" customFormat="1" ht="15">
      <c r="A13" s="111"/>
      <c r="B13" s="283" t="s">
        <v>208</v>
      </c>
      <c r="C13" s="585"/>
      <c r="D13" s="586">
        <v>13.79</v>
      </c>
      <c r="E13" s="585">
        <f>D13*1390*12</f>
        <v>230017.19999999998</v>
      </c>
      <c r="F13" s="585"/>
      <c r="G13" s="584">
        <f>15.76-0.6675-0.565</f>
        <v>14.5275</v>
      </c>
      <c r="H13" s="585">
        <f>G13*1390*12</f>
        <v>242318.69999999998</v>
      </c>
      <c r="I13" s="585"/>
      <c r="J13" s="587">
        <v>15.24</v>
      </c>
      <c r="K13" s="585">
        <f>J13*1390*12</f>
        <v>254203.19999999998</v>
      </c>
      <c r="L13" s="585"/>
      <c r="M13" s="584">
        <v>14.69575</v>
      </c>
      <c r="N13" s="585">
        <f>M13*1390*12</f>
        <v>245125.11</v>
      </c>
      <c r="O13" s="585"/>
      <c r="P13" s="584">
        <v>15.97</v>
      </c>
      <c r="Q13" s="585">
        <f>P13*1390*12</f>
        <v>266379.59999999998</v>
      </c>
      <c r="R13" s="585"/>
      <c r="S13" s="587">
        <f>13.71</f>
        <v>13.71</v>
      </c>
      <c r="T13" s="585">
        <f>S13*1390*12</f>
        <v>228682.80000000002</v>
      </c>
      <c r="U13" s="583">
        <f>SUM(E13+H13+K13+N13+Q13+T13)</f>
        <v>1466726.61</v>
      </c>
      <c r="V13" s="50"/>
    </row>
    <row r="14" spans="1:22" ht="30">
      <c r="A14" s="109" t="s">
        <v>548</v>
      </c>
      <c r="B14" s="110" t="s">
        <v>765</v>
      </c>
      <c r="C14" s="583"/>
      <c r="D14" s="583"/>
      <c r="E14" s="583">
        <f>(D11+D13+D12)*1210*12*20/80</f>
        <v>334588.17150000005</v>
      </c>
      <c r="F14" s="583"/>
      <c r="G14" s="583">
        <f>((F11+F12+F13)*1050*25*12)/75</f>
        <v>0</v>
      </c>
      <c r="H14" s="583">
        <f>(G11+G13+G12)*1210*12*20/80</f>
        <v>327575.510625</v>
      </c>
      <c r="I14" s="583"/>
      <c r="J14" s="583"/>
      <c r="K14" s="583">
        <f>(J11+J13+J12)*1210*12*20/80</f>
        <v>352190.76749999996</v>
      </c>
      <c r="L14" s="583"/>
      <c r="M14" s="583"/>
      <c r="N14" s="583">
        <f>(M11+M13+M12)*1210*12*20/80</f>
        <v>332171.66688749997</v>
      </c>
      <c r="O14" s="583"/>
      <c r="P14" s="583"/>
      <c r="Q14" s="583">
        <f>(P11+P13+P12)*1210*12*20/80</f>
        <v>372224.73749999999</v>
      </c>
      <c r="R14" s="583"/>
      <c r="S14" s="583"/>
      <c r="T14" s="583">
        <f>(S11+S13+S12)*1210*12*20/80</f>
        <v>306959.69699999999</v>
      </c>
      <c r="U14" s="583">
        <f>SUM(E14+H14+K14+N14+Q14+T14)</f>
        <v>2025710.5510125</v>
      </c>
      <c r="V14" s="50"/>
    </row>
    <row r="15" spans="1:22" s="50" customFormat="1" ht="14.25">
      <c r="A15" s="105" t="s">
        <v>552</v>
      </c>
      <c r="B15" s="106" t="s">
        <v>380</v>
      </c>
      <c r="C15" s="582"/>
      <c r="D15" s="582"/>
      <c r="E15" s="582">
        <f>SUM(E16:E29)</f>
        <v>1780536.2</v>
      </c>
      <c r="F15" s="582"/>
      <c r="G15" s="582"/>
      <c r="H15" s="582">
        <f>SUM(H16:H29)</f>
        <v>1660319.5919999999</v>
      </c>
      <c r="I15" s="582"/>
      <c r="J15" s="582"/>
      <c r="K15" s="582">
        <f>SUM(K16:K29)</f>
        <v>1611729.6</v>
      </c>
      <c r="L15" s="582"/>
      <c r="M15" s="582"/>
      <c r="N15" s="582">
        <f>SUM(N16:N29)</f>
        <v>1747239.9919999999</v>
      </c>
      <c r="O15" s="582"/>
      <c r="P15" s="582"/>
      <c r="Q15" s="582">
        <f>SUM(Q16:Q29)</f>
        <v>1689669.4</v>
      </c>
      <c r="R15" s="582"/>
      <c r="S15" s="582"/>
      <c r="T15" s="582">
        <f>SUM(T16:T29)</f>
        <v>1722401.24</v>
      </c>
      <c r="U15" s="582">
        <f>SUM(U16:U29)</f>
        <v>10211896.024</v>
      </c>
    </row>
    <row r="16" spans="1:22" ht="20.25" customHeight="1">
      <c r="A16" s="109" t="s">
        <v>549</v>
      </c>
      <c r="B16" s="110" t="s">
        <v>381</v>
      </c>
      <c r="C16" s="583">
        <v>22</v>
      </c>
      <c r="D16" s="588">
        <v>0.3</v>
      </c>
      <c r="E16" s="583">
        <f>C16*D16*1390*12</f>
        <v>110088</v>
      </c>
      <c r="F16" s="583">
        <v>24</v>
      </c>
      <c r="G16" s="588">
        <v>0.3</v>
      </c>
      <c r="H16" s="583">
        <f>F16*G16*12*1390</f>
        <v>120095.99999999999</v>
      </c>
      <c r="I16" s="583">
        <v>22</v>
      </c>
      <c r="J16" s="588">
        <v>0.3</v>
      </c>
      <c r="K16" s="583">
        <f>I16*J16*12*1390</f>
        <v>110087.99999999999</v>
      </c>
      <c r="L16" s="583">
        <v>24</v>
      </c>
      <c r="M16" s="588">
        <v>0.3</v>
      </c>
      <c r="N16" s="583">
        <f>L16*M16*12*1390</f>
        <v>120095.99999999999</v>
      </c>
      <c r="O16" s="583">
        <v>24</v>
      </c>
      <c r="P16" s="588">
        <v>0.3</v>
      </c>
      <c r="Q16" s="583">
        <f>O16*P16*12*1390</f>
        <v>120095.99999999999</v>
      </c>
      <c r="R16" s="583">
        <v>25</v>
      </c>
      <c r="S16" s="588">
        <v>0.3</v>
      </c>
      <c r="T16" s="583">
        <f>R16*S16*12*1390</f>
        <v>125100</v>
      </c>
      <c r="U16" s="583">
        <f t="shared" ref="U16:U25" si="1">SUM(E16+H16+K16+N16+Q16+T16)</f>
        <v>705564</v>
      </c>
      <c r="V16" s="50"/>
    </row>
    <row r="17" spans="1:28" ht="15">
      <c r="A17" s="109"/>
      <c r="B17" s="110" t="s">
        <v>1155</v>
      </c>
      <c r="C17" s="583">
        <v>5</v>
      </c>
      <c r="D17" s="589">
        <v>4.4999999999999998E-2</v>
      </c>
      <c r="E17" s="583">
        <f>C17*D17*12*1390</f>
        <v>3752.9999999999995</v>
      </c>
      <c r="F17" s="583">
        <v>3</v>
      </c>
      <c r="G17" s="589">
        <f>0.045</f>
        <v>4.4999999999999998E-2</v>
      </c>
      <c r="H17" s="583">
        <f>F17*G17*1390*12</f>
        <v>2251.8000000000002</v>
      </c>
      <c r="I17" s="583">
        <v>6</v>
      </c>
      <c r="J17" s="589">
        <v>4.4999999999999998E-2</v>
      </c>
      <c r="K17" s="583">
        <f>I17*J17*1390*12</f>
        <v>4503.6000000000004</v>
      </c>
      <c r="L17" s="583">
        <v>11</v>
      </c>
      <c r="M17" s="589">
        <v>4.4999999999999998E-2</v>
      </c>
      <c r="N17" s="583">
        <f>L17*M17*1390*12</f>
        <v>8256.5999999999985</v>
      </c>
      <c r="O17" s="583">
        <v>4</v>
      </c>
      <c r="P17" s="589">
        <v>4.4999999999999998E-2</v>
      </c>
      <c r="Q17" s="583">
        <f>O17*P17*1390*12</f>
        <v>3002.3999999999996</v>
      </c>
      <c r="R17" s="583">
        <v>6</v>
      </c>
      <c r="S17" s="589">
        <v>4.4999999999999998E-2</v>
      </c>
      <c r="T17" s="583">
        <f>R17*S17*1390*12</f>
        <v>4503.6000000000004</v>
      </c>
      <c r="U17" s="583">
        <f t="shared" si="1"/>
        <v>26271</v>
      </c>
      <c r="V17" s="50"/>
    </row>
    <row r="18" spans="1:28" ht="15">
      <c r="A18" s="109" t="s">
        <v>550</v>
      </c>
      <c r="B18" s="590" t="s">
        <v>1156</v>
      </c>
      <c r="C18" s="583"/>
      <c r="D18" s="588"/>
      <c r="E18" s="583">
        <v>75000</v>
      </c>
      <c r="F18" s="583"/>
      <c r="G18" s="588"/>
      <c r="H18" s="583">
        <v>75000</v>
      </c>
      <c r="I18" s="583"/>
      <c r="J18" s="588"/>
      <c r="K18" s="583">
        <v>75000</v>
      </c>
      <c r="L18" s="583"/>
      <c r="M18" s="588"/>
      <c r="N18" s="583">
        <v>75000</v>
      </c>
      <c r="O18" s="583"/>
      <c r="P18" s="588"/>
      <c r="Q18" s="583">
        <v>75000</v>
      </c>
      <c r="R18" s="583"/>
      <c r="S18" s="588"/>
      <c r="T18" s="583">
        <v>75000</v>
      </c>
      <c r="U18" s="583">
        <f t="shared" si="1"/>
        <v>450000</v>
      </c>
      <c r="V18" s="50"/>
      <c r="W18" s="348"/>
      <c r="X18" s="348"/>
      <c r="Y18" s="348"/>
      <c r="Z18" s="348"/>
      <c r="AA18" s="348"/>
      <c r="AB18" s="348"/>
    </row>
    <row r="19" spans="1:28" ht="15">
      <c r="A19" s="109" t="s">
        <v>549</v>
      </c>
      <c r="B19" s="590" t="s">
        <v>276</v>
      </c>
      <c r="C19" s="583">
        <v>14</v>
      </c>
      <c r="D19" s="588">
        <v>0.3</v>
      </c>
      <c r="E19" s="583">
        <f>C19*D19*1390*12</f>
        <v>70056</v>
      </c>
      <c r="F19" s="583">
        <v>15</v>
      </c>
      <c r="G19" s="588">
        <v>0.3</v>
      </c>
      <c r="H19" s="583">
        <f>F19*G19*1390*12</f>
        <v>75060</v>
      </c>
      <c r="I19" s="583">
        <v>14</v>
      </c>
      <c r="J19" s="588">
        <v>0.3</v>
      </c>
      <c r="K19" s="583">
        <f>I19*J19*1390*12</f>
        <v>70056</v>
      </c>
      <c r="L19" s="583">
        <v>13</v>
      </c>
      <c r="M19" s="588">
        <v>0.3</v>
      </c>
      <c r="N19" s="583">
        <f>L19*M19*1390*12</f>
        <v>65052</v>
      </c>
      <c r="O19" s="583">
        <v>14</v>
      </c>
      <c r="P19" s="588">
        <v>0.3</v>
      </c>
      <c r="Q19" s="583">
        <f>O19*P19*1390*12</f>
        <v>70056</v>
      </c>
      <c r="R19" s="583">
        <v>15</v>
      </c>
      <c r="S19" s="588">
        <v>0.3</v>
      </c>
      <c r="T19" s="583">
        <f>R19*S19*1390*12</f>
        <v>75060</v>
      </c>
      <c r="U19" s="583">
        <f t="shared" si="1"/>
        <v>425340</v>
      </c>
      <c r="V19" s="50"/>
    </row>
    <row r="20" spans="1:28" ht="15">
      <c r="A20" s="109" t="s">
        <v>550</v>
      </c>
      <c r="B20" s="591" t="s">
        <v>277</v>
      </c>
      <c r="C20" s="592"/>
      <c r="D20" s="593"/>
      <c r="E20" s="592">
        <v>5000</v>
      </c>
      <c r="F20" s="592"/>
      <c r="G20" s="593"/>
      <c r="H20" s="592">
        <v>5000</v>
      </c>
      <c r="I20" s="592"/>
      <c r="J20" s="593"/>
      <c r="K20" s="592">
        <v>5000</v>
      </c>
      <c r="L20" s="592"/>
      <c r="M20" s="593"/>
      <c r="N20" s="592">
        <v>5000</v>
      </c>
      <c r="O20" s="592"/>
      <c r="P20" s="593"/>
      <c r="Q20" s="592">
        <v>5000</v>
      </c>
      <c r="R20" s="592"/>
      <c r="S20" s="593"/>
      <c r="T20" s="592">
        <v>5000</v>
      </c>
      <c r="U20" s="592">
        <f t="shared" si="1"/>
        <v>30000</v>
      </c>
      <c r="V20" s="50"/>
      <c r="W20" s="349"/>
      <c r="X20" s="349"/>
      <c r="Y20" s="349"/>
      <c r="Z20" s="349"/>
    </row>
    <row r="21" spans="1:28" ht="15">
      <c r="A21" s="350" t="s">
        <v>550</v>
      </c>
      <c r="B21" s="590" t="s">
        <v>278</v>
      </c>
      <c r="C21" s="583">
        <v>5</v>
      </c>
      <c r="D21" s="588">
        <v>0.2</v>
      </c>
      <c r="E21" s="583">
        <f>C21*D21*1390*12</f>
        <v>16680</v>
      </c>
      <c r="F21" s="583">
        <v>5</v>
      </c>
      <c r="G21" s="588">
        <v>0.2</v>
      </c>
      <c r="H21" s="583">
        <f>F21*G21*1390*12</f>
        <v>16680</v>
      </c>
      <c r="I21" s="583">
        <v>5</v>
      </c>
      <c r="J21" s="588">
        <v>0.2</v>
      </c>
      <c r="K21" s="583">
        <f>I21*J21*1390*12</f>
        <v>16680</v>
      </c>
      <c r="L21" s="583">
        <v>5</v>
      </c>
      <c r="M21" s="588">
        <v>0.2</v>
      </c>
      <c r="N21" s="583">
        <f>L21*M21*1390*12</f>
        <v>16680</v>
      </c>
      <c r="O21" s="583">
        <v>5</v>
      </c>
      <c r="P21" s="588">
        <v>0.2</v>
      </c>
      <c r="Q21" s="583">
        <f>O21*P21*1390*12</f>
        <v>16680</v>
      </c>
      <c r="R21" s="583">
        <v>5</v>
      </c>
      <c r="S21" s="588">
        <v>0.2</v>
      </c>
      <c r="T21" s="583">
        <f>R21*S21*1390*12</f>
        <v>16680</v>
      </c>
      <c r="U21" s="583">
        <f t="shared" si="1"/>
        <v>100080</v>
      </c>
      <c r="V21" s="50"/>
      <c r="W21" s="351"/>
      <c r="X21" s="348"/>
      <c r="Y21" s="348"/>
      <c r="Z21" s="348"/>
    </row>
    <row r="22" spans="1:28" ht="30">
      <c r="A22" s="109" t="s">
        <v>549</v>
      </c>
      <c r="B22" s="590" t="s">
        <v>606</v>
      </c>
      <c r="C22" s="583">
        <v>15</v>
      </c>
      <c r="D22" s="588">
        <v>1.3</v>
      </c>
      <c r="E22" s="583">
        <f>C22*D22*1390*12</f>
        <v>325260</v>
      </c>
      <c r="F22" s="583">
        <v>14</v>
      </c>
      <c r="G22" s="588">
        <v>1.3</v>
      </c>
      <c r="H22" s="583">
        <f>F22*G22*1390*12+0.26*1390*12</f>
        <v>307912.8</v>
      </c>
      <c r="I22" s="583">
        <v>15</v>
      </c>
      <c r="J22" s="588">
        <v>1.3</v>
      </c>
      <c r="K22" s="583">
        <f>I22*J22*1390*12</f>
        <v>325260</v>
      </c>
      <c r="L22" s="583">
        <v>14</v>
      </c>
      <c r="M22" s="588">
        <v>1.3</v>
      </c>
      <c r="N22" s="583">
        <f>L22*M22*1390*12+0.26*1390*12</f>
        <v>307912.8</v>
      </c>
      <c r="O22" s="583">
        <v>15</v>
      </c>
      <c r="P22" s="588">
        <v>1.3</v>
      </c>
      <c r="Q22" s="583">
        <f>O22*P22*1390*12</f>
        <v>325260</v>
      </c>
      <c r="R22" s="583">
        <v>14</v>
      </c>
      <c r="S22" s="588">
        <v>1.3</v>
      </c>
      <c r="T22" s="583">
        <f>R22*S22*1390*12</f>
        <v>303576</v>
      </c>
      <c r="U22" s="583">
        <f t="shared" si="1"/>
        <v>1895181.6</v>
      </c>
      <c r="V22" s="50"/>
    </row>
    <row r="23" spans="1:28" ht="19.5" customHeight="1">
      <c r="A23" s="109"/>
      <c r="B23" s="590" t="s">
        <v>1157</v>
      </c>
      <c r="C23" s="583">
        <v>15</v>
      </c>
      <c r="D23" s="588"/>
      <c r="E23" s="583">
        <f>E22*14%</f>
        <v>45536.4</v>
      </c>
      <c r="F23" s="583">
        <v>14</v>
      </c>
      <c r="G23" s="594"/>
      <c r="H23" s="583">
        <f>H22*14%</f>
        <v>43107.792000000001</v>
      </c>
      <c r="I23" s="583">
        <v>15</v>
      </c>
      <c r="J23" s="588"/>
      <c r="K23" s="583">
        <f>K22*14%</f>
        <v>45536.4</v>
      </c>
      <c r="L23" s="583">
        <v>14</v>
      </c>
      <c r="M23" s="594"/>
      <c r="N23" s="583">
        <f>N22*14%</f>
        <v>43107.792000000001</v>
      </c>
      <c r="O23" s="583">
        <v>15</v>
      </c>
      <c r="P23" s="588"/>
      <c r="Q23" s="583">
        <f>Q22*14%</f>
        <v>45536.4</v>
      </c>
      <c r="R23" s="583">
        <v>14</v>
      </c>
      <c r="S23" s="588"/>
      <c r="T23" s="583">
        <f>T22*14%</f>
        <v>42500.640000000007</v>
      </c>
      <c r="U23" s="583">
        <f t="shared" si="1"/>
        <v>265325.424</v>
      </c>
      <c r="V23" s="50"/>
    </row>
    <row r="24" spans="1:28" ht="44.25" customHeight="1">
      <c r="A24" s="109" t="s">
        <v>550</v>
      </c>
      <c r="B24" s="590" t="s">
        <v>759</v>
      </c>
      <c r="C24" s="583"/>
      <c r="D24" s="583"/>
      <c r="E24" s="583">
        <v>85000</v>
      </c>
      <c r="F24" s="583"/>
      <c r="G24" s="583"/>
      <c r="H24" s="583">
        <v>85000</v>
      </c>
      <c r="I24" s="583"/>
      <c r="J24" s="583"/>
      <c r="K24" s="583">
        <v>85000</v>
      </c>
      <c r="L24" s="583"/>
      <c r="M24" s="583"/>
      <c r="N24" s="583">
        <v>85000</v>
      </c>
      <c r="O24" s="583"/>
      <c r="P24" s="583"/>
      <c r="Q24" s="583">
        <v>85000</v>
      </c>
      <c r="R24" s="583"/>
      <c r="S24" s="583"/>
      <c r="T24" s="583">
        <v>85000</v>
      </c>
      <c r="U24" s="583">
        <f t="shared" si="1"/>
        <v>510000</v>
      </c>
      <c r="V24" s="50"/>
    </row>
    <row r="25" spans="1:28" ht="44.25" customHeight="1">
      <c r="A25" s="109" t="s">
        <v>550</v>
      </c>
      <c r="B25" s="590" t="s">
        <v>607</v>
      </c>
      <c r="C25" s="583">
        <v>10</v>
      </c>
      <c r="D25" s="588"/>
      <c r="E25" s="583">
        <v>982452</v>
      </c>
      <c r="F25" s="583">
        <v>8</v>
      </c>
      <c r="G25" s="588"/>
      <c r="H25" s="583">
        <v>887710</v>
      </c>
      <c r="I25" s="583">
        <v>7</v>
      </c>
      <c r="J25" s="588"/>
      <c r="K25" s="583">
        <v>829000</v>
      </c>
      <c r="L25" s="583">
        <v>10</v>
      </c>
      <c r="M25" s="583"/>
      <c r="N25" s="583">
        <v>954420</v>
      </c>
      <c r="O25" s="583">
        <v>8</v>
      </c>
      <c r="P25" s="588"/>
      <c r="Q25" s="583">
        <v>877370</v>
      </c>
      <c r="R25" s="583">
        <v>9</v>
      </c>
      <c r="S25" s="588"/>
      <c r="T25" s="583">
        <v>914064</v>
      </c>
      <c r="U25" s="583">
        <f t="shared" si="1"/>
        <v>5445016</v>
      </c>
      <c r="V25" s="50"/>
    </row>
    <row r="26" spans="1:28" ht="53.25" customHeight="1">
      <c r="A26" s="109"/>
      <c r="B26" s="254" t="s">
        <v>1158</v>
      </c>
      <c r="C26" s="595">
        <v>3</v>
      </c>
      <c r="D26" s="596">
        <v>194.6</v>
      </c>
      <c r="E26" s="595">
        <f>C26*D26*12</f>
        <v>7005.5999999999995</v>
      </c>
      <c r="F26" s="583"/>
      <c r="G26" s="583"/>
      <c r="H26" s="583"/>
      <c r="I26" s="595">
        <v>3</v>
      </c>
      <c r="J26" s="597">
        <v>194.6</v>
      </c>
      <c r="K26" s="595">
        <f>I26*J26*12</f>
        <v>7005.5999999999995</v>
      </c>
      <c r="L26" s="595">
        <v>3</v>
      </c>
      <c r="M26" s="597">
        <v>194.6</v>
      </c>
      <c r="N26" s="595">
        <f>L26*M26*12</f>
        <v>7005.5999999999995</v>
      </c>
      <c r="O26" s="583">
        <v>9</v>
      </c>
      <c r="P26" s="597">
        <v>194.6</v>
      </c>
      <c r="Q26" s="595">
        <f>O26*P26*12</f>
        <v>21016.799999999999</v>
      </c>
      <c r="R26" s="583">
        <v>10</v>
      </c>
      <c r="S26" s="588">
        <v>194.6</v>
      </c>
      <c r="T26" s="595">
        <f>R26*S26*12</f>
        <v>23352</v>
      </c>
      <c r="U26" s="583">
        <f>SUM(E26+H26+K26+N26+Q26+T26)</f>
        <v>65385.599999999999</v>
      </c>
      <c r="V26" s="50"/>
    </row>
    <row r="27" spans="1:28" ht="19.5" customHeight="1">
      <c r="A27" s="109"/>
      <c r="B27" s="254" t="s">
        <v>1159</v>
      </c>
      <c r="C27" s="595">
        <v>2</v>
      </c>
      <c r="D27" s="598">
        <v>4.4999999999999998E-2</v>
      </c>
      <c r="E27" s="595">
        <f>C27*D27*1390*12</f>
        <v>1501.1999999999998</v>
      </c>
      <c r="F27" s="583">
        <v>2</v>
      </c>
      <c r="G27" s="589">
        <v>4.4999999999999998E-2</v>
      </c>
      <c r="H27" s="583">
        <f>F27*G27*12*1390</f>
        <v>1501.2</v>
      </c>
      <c r="I27" s="583"/>
      <c r="J27" s="588"/>
      <c r="K27" s="583"/>
      <c r="L27" s="595">
        <v>8</v>
      </c>
      <c r="M27" s="598">
        <v>4.4999999999999998E-2</v>
      </c>
      <c r="N27" s="595">
        <f>L27*M27*12*1390</f>
        <v>6004.8</v>
      </c>
      <c r="O27" s="583">
        <v>3</v>
      </c>
      <c r="P27" s="598">
        <v>4.4999999999999998E-2</v>
      </c>
      <c r="Q27" s="595">
        <f>O27*P27*12*1390</f>
        <v>2251.8000000000002</v>
      </c>
      <c r="R27" s="595">
        <v>5</v>
      </c>
      <c r="S27" s="598">
        <v>4.4999999999999998E-2</v>
      </c>
      <c r="T27" s="595">
        <f>R27*S27*12*1390</f>
        <v>3752.9999999999995</v>
      </c>
      <c r="U27" s="583">
        <f>SUM(E27+H27+K27+N27+Q27+T27)</f>
        <v>15012</v>
      </c>
      <c r="V27" s="50"/>
    </row>
    <row r="28" spans="1:28" ht="40.5" customHeight="1">
      <c r="A28" s="109"/>
      <c r="B28" s="254" t="s">
        <v>766</v>
      </c>
      <c r="C28" s="583">
        <v>19</v>
      </c>
      <c r="D28" s="583"/>
      <c r="E28" s="583">
        <f>4017*12</f>
        <v>48204</v>
      </c>
      <c r="F28" s="583">
        <v>15</v>
      </c>
      <c r="G28" s="583"/>
      <c r="H28" s="583">
        <f>15*200*12</f>
        <v>36000</v>
      </c>
      <c r="I28" s="583">
        <v>14</v>
      </c>
      <c r="J28" s="588"/>
      <c r="K28" s="583">
        <f>I28*200*12</f>
        <v>33600</v>
      </c>
      <c r="L28" s="583">
        <v>19</v>
      </c>
      <c r="M28" s="588"/>
      <c r="N28" s="583">
        <f>4058.7*12</f>
        <v>48704.399999999994</v>
      </c>
      <c r="O28" s="583">
        <v>16</v>
      </c>
      <c r="P28" s="588"/>
      <c r="Q28" s="583">
        <f>3200*12</f>
        <v>38400</v>
      </c>
      <c r="R28" s="583">
        <v>15</v>
      </c>
      <c r="S28" s="588"/>
      <c r="T28" s="583">
        <f>3651*12</f>
        <v>43812</v>
      </c>
      <c r="U28" s="583">
        <f>SUM(E28+H28+K28+N28+Q28+T28)</f>
        <v>248720.4</v>
      </c>
      <c r="V28" s="50"/>
    </row>
    <row r="29" spans="1:28" ht="24" customHeight="1">
      <c r="A29" s="109" t="s">
        <v>550</v>
      </c>
      <c r="B29" s="110" t="s">
        <v>760</v>
      </c>
      <c r="C29" s="583"/>
      <c r="D29" s="583"/>
      <c r="E29" s="583">
        <v>5000</v>
      </c>
      <c r="F29" s="583"/>
      <c r="G29" s="583"/>
      <c r="H29" s="583">
        <v>5000</v>
      </c>
      <c r="I29" s="583"/>
      <c r="J29" s="583"/>
      <c r="K29" s="583">
        <v>5000</v>
      </c>
      <c r="L29" s="583"/>
      <c r="M29" s="583"/>
      <c r="N29" s="583">
        <v>5000</v>
      </c>
      <c r="O29" s="583"/>
      <c r="P29" s="583"/>
      <c r="Q29" s="583">
        <v>5000</v>
      </c>
      <c r="R29" s="583"/>
      <c r="S29" s="583"/>
      <c r="T29" s="583">
        <v>5000</v>
      </c>
      <c r="U29" s="583">
        <f>SUM(E29+H29+K29+N29+Q29+T29)</f>
        <v>30000</v>
      </c>
      <c r="V29" s="50"/>
    </row>
    <row r="30" spans="1:28" s="50" customFormat="1" ht="23.25" customHeight="1">
      <c r="A30" s="105">
        <v>3</v>
      </c>
      <c r="B30" s="106" t="s">
        <v>761</v>
      </c>
      <c r="C30" s="582"/>
      <c r="D30" s="582"/>
      <c r="E30" s="582">
        <f>E31+E32</f>
        <v>123100</v>
      </c>
      <c r="F30" s="582">
        <v>0</v>
      </c>
      <c r="G30" s="582">
        <v>0</v>
      </c>
      <c r="H30" s="582">
        <f>H31+H32</f>
        <v>108480</v>
      </c>
      <c r="I30" s="582">
        <v>0</v>
      </c>
      <c r="J30" s="582">
        <v>0</v>
      </c>
      <c r="K30" s="582">
        <f>K31+K32</f>
        <v>101170</v>
      </c>
      <c r="L30" s="582">
        <v>0</v>
      </c>
      <c r="M30" s="582">
        <v>0</v>
      </c>
      <c r="N30" s="582">
        <f>N31+N32</f>
        <v>123100</v>
      </c>
      <c r="O30" s="582">
        <v>0</v>
      </c>
      <c r="P30" s="582">
        <v>0</v>
      </c>
      <c r="Q30" s="582">
        <f>Q31+Q32</f>
        <v>108480</v>
      </c>
      <c r="R30" s="582">
        <v>0</v>
      </c>
      <c r="S30" s="582">
        <v>0</v>
      </c>
      <c r="T30" s="582">
        <f>T31+T32</f>
        <v>120790</v>
      </c>
      <c r="U30" s="582">
        <f>U31+U32</f>
        <v>685120</v>
      </c>
    </row>
    <row r="31" spans="1:28" ht="21.75" customHeight="1">
      <c r="A31" s="109" t="s">
        <v>549</v>
      </c>
      <c r="B31" s="110" t="s">
        <v>512</v>
      </c>
      <c r="C31" s="583"/>
      <c r="D31" s="583"/>
      <c r="E31" s="583">
        <v>50000</v>
      </c>
      <c r="F31" s="583">
        <v>0</v>
      </c>
      <c r="G31" s="583">
        <v>0</v>
      </c>
      <c r="H31" s="583">
        <v>50000</v>
      </c>
      <c r="I31" s="583">
        <v>0</v>
      </c>
      <c r="J31" s="583">
        <v>0</v>
      </c>
      <c r="K31" s="583">
        <v>50000</v>
      </c>
      <c r="L31" s="583"/>
      <c r="M31" s="583"/>
      <c r="N31" s="583">
        <v>50000</v>
      </c>
      <c r="O31" s="583">
        <v>0</v>
      </c>
      <c r="P31" s="583">
        <v>0</v>
      </c>
      <c r="Q31" s="583">
        <v>50000</v>
      </c>
      <c r="R31" s="583">
        <v>0</v>
      </c>
      <c r="S31" s="583">
        <v>0</v>
      </c>
      <c r="T31" s="583">
        <v>55000</v>
      </c>
      <c r="U31" s="583">
        <f>SUM(E31+H31+K31+N31+Q31+T31)</f>
        <v>305000</v>
      </c>
      <c r="V31" s="50"/>
    </row>
    <row r="32" spans="1:28" ht="20.25" customHeight="1">
      <c r="A32" s="109" t="s">
        <v>550</v>
      </c>
      <c r="B32" s="110" t="s">
        <v>513</v>
      </c>
      <c r="C32" s="583">
        <v>10</v>
      </c>
      <c r="D32" s="583">
        <v>7310</v>
      </c>
      <c r="E32" s="583">
        <f>C32*D32</f>
        <v>73100</v>
      </c>
      <c r="F32" s="583">
        <v>8</v>
      </c>
      <c r="G32" s="583">
        <v>7310</v>
      </c>
      <c r="H32" s="583">
        <f>F32*G32</f>
        <v>58480</v>
      </c>
      <c r="I32" s="583">
        <v>7</v>
      </c>
      <c r="J32" s="583">
        <v>7310</v>
      </c>
      <c r="K32" s="583">
        <f>I32*J32</f>
        <v>51170</v>
      </c>
      <c r="L32" s="583">
        <v>10</v>
      </c>
      <c r="M32" s="583">
        <v>7310</v>
      </c>
      <c r="N32" s="583">
        <f>L32*M32</f>
        <v>73100</v>
      </c>
      <c r="O32" s="583">
        <v>8</v>
      </c>
      <c r="P32" s="583">
        <v>7310</v>
      </c>
      <c r="Q32" s="583">
        <f>O32*P32</f>
        <v>58480</v>
      </c>
      <c r="R32" s="583">
        <v>9</v>
      </c>
      <c r="S32" s="583">
        <v>7310</v>
      </c>
      <c r="T32" s="583">
        <f>R32*S32</f>
        <v>65790</v>
      </c>
      <c r="U32" s="583">
        <f>SUM(E32+H32+K32+N32+Q32+T32)</f>
        <v>380120</v>
      </c>
      <c r="V32" s="50"/>
    </row>
    <row r="33" spans="1:25" s="50" customFormat="1" ht="17.25" customHeight="1">
      <c r="A33" s="105">
        <v>4</v>
      </c>
      <c r="B33" s="106" t="s">
        <v>673</v>
      </c>
      <c r="C33" s="582"/>
      <c r="D33" s="582"/>
      <c r="E33" s="582">
        <f>SUM(E34:E45)</f>
        <v>315873.8</v>
      </c>
      <c r="F33" s="582">
        <f t="shared" ref="F33:S33" si="2">SUM(F34:F45)</f>
        <v>141</v>
      </c>
      <c r="G33" s="582">
        <f>SUM(G34:G45)</f>
        <v>5771.18</v>
      </c>
      <c r="H33" s="582">
        <f>SUM(H34:H45)</f>
        <v>266922.2</v>
      </c>
      <c r="I33" s="582">
        <f t="shared" si="2"/>
        <v>387</v>
      </c>
      <c r="J33" s="582">
        <f t="shared" si="2"/>
        <v>5771.2800000000007</v>
      </c>
      <c r="K33" s="582">
        <f>SUM(K34:K45)</f>
        <v>448396.39999999997</v>
      </c>
      <c r="L33" s="582">
        <f t="shared" si="2"/>
        <v>307</v>
      </c>
      <c r="M33" s="582">
        <f t="shared" si="2"/>
        <v>5771.2800000000007</v>
      </c>
      <c r="N33" s="582">
        <f t="shared" si="2"/>
        <v>328788.2</v>
      </c>
      <c r="O33" s="582">
        <f t="shared" si="2"/>
        <v>191</v>
      </c>
      <c r="P33" s="582">
        <f t="shared" si="2"/>
        <v>5771.18</v>
      </c>
      <c r="Q33" s="582">
        <f>SUM(Q34:Q45)</f>
        <v>355256.6</v>
      </c>
      <c r="R33" s="582">
        <f t="shared" si="2"/>
        <v>243</v>
      </c>
      <c r="S33" s="582">
        <f t="shared" si="2"/>
        <v>5771.18</v>
      </c>
      <c r="T33" s="582">
        <f>SUM(T34:T45)</f>
        <v>299399</v>
      </c>
      <c r="U33" s="582">
        <f>SUM(U34:U45)</f>
        <v>2014636.2</v>
      </c>
    </row>
    <row r="34" spans="1:25" ht="18" customHeight="1">
      <c r="A34" s="109" t="s">
        <v>548</v>
      </c>
      <c r="B34" s="110" t="s">
        <v>512</v>
      </c>
      <c r="C34" s="583"/>
      <c r="D34" s="583"/>
      <c r="E34" s="583">
        <v>29000</v>
      </c>
      <c r="F34" s="583">
        <v>0</v>
      </c>
      <c r="G34" s="583">
        <v>0</v>
      </c>
      <c r="H34" s="583">
        <v>29000</v>
      </c>
      <c r="I34" s="583">
        <v>0</v>
      </c>
      <c r="J34" s="583">
        <v>0</v>
      </c>
      <c r="K34" s="583">
        <v>29000</v>
      </c>
      <c r="L34" s="583">
        <v>0</v>
      </c>
      <c r="M34" s="583">
        <v>0</v>
      </c>
      <c r="N34" s="583">
        <v>29000</v>
      </c>
      <c r="O34" s="583">
        <v>0</v>
      </c>
      <c r="P34" s="583">
        <v>0</v>
      </c>
      <c r="Q34" s="583">
        <v>29000</v>
      </c>
      <c r="R34" s="583">
        <v>0</v>
      </c>
      <c r="S34" s="583">
        <v>0</v>
      </c>
      <c r="T34" s="583">
        <v>29000</v>
      </c>
      <c r="U34" s="583">
        <f>SUM(E34+H34+K34+N34+Q34+T34)</f>
        <v>174000</v>
      </c>
      <c r="V34" s="50"/>
    </row>
    <row r="35" spans="1:25" ht="15">
      <c r="A35" s="109" t="s">
        <v>548</v>
      </c>
      <c r="B35" s="110" t="s">
        <v>514</v>
      </c>
      <c r="C35" s="583"/>
      <c r="D35" s="583"/>
      <c r="E35" s="583"/>
      <c r="F35" s="583"/>
      <c r="G35" s="583"/>
      <c r="H35" s="583"/>
      <c r="I35" s="583"/>
      <c r="J35" s="583"/>
      <c r="K35" s="583"/>
      <c r="L35" s="583"/>
      <c r="M35" s="583"/>
      <c r="N35" s="583"/>
      <c r="O35" s="583"/>
      <c r="P35" s="583"/>
      <c r="Q35" s="583"/>
      <c r="R35" s="583"/>
      <c r="S35" s="583"/>
      <c r="T35" s="583"/>
      <c r="U35" s="583"/>
      <c r="V35" s="50"/>
    </row>
    <row r="36" spans="1:25" s="51" customFormat="1" ht="15">
      <c r="A36" s="111"/>
      <c r="B36" s="283" t="s">
        <v>515</v>
      </c>
      <c r="C36" s="585">
        <v>0</v>
      </c>
      <c r="D36" s="585">
        <v>1974</v>
      </c>
      <c r="E36" s="585">
        <f>C36*D36*12</f>
        <v>0</v>
      </c>
      <c r="F36" s="585">
        <v>1</v>
      </c>
      <c r="G36" s="585">
        <v>1974</v>
      </c>
      <c r="H36" s="585">
        <f>F36*G36*12</f>
        <v>23688</v>
      </c>
      <c r="I36" s="585"/>
      <c r="J36" s="585">
        <v>1974</v>
      </c>
      <c r="K36" s="585">
        <f>I36*J36*12</f>
        <v>0</v>
      </c>
      <c r="L36" s="585">
        <v>1</v>
      </c>
      <c r="M36" s="585">
        <v>1974</v>
      </c>
      <c r="N36" s="585">
        <f>L36*M36*12</f>
        <v>23688</v>
      </c>
      <c r="O36" s="585">
        <v>3</v>
      </c>
      <c r="P36" s="585">
        <v>1974</v>
      </c>
      <c r="Q36" s="585">
        <f>O36*P36*12</f>
        <v>71064</v>
      </c>
      <c r="R36" s="585"/>
      <c r="S36" s="585">
        <v>1974</v>
      </c>
      <c r="T36" s="585">
        <f>R36*S36*12</f>
        <v>0</v>
      </c>
      <c r="U36" s="583">
        <f t="shared" ref="U36:U41" si="3">SUM(E36+H36+K36+N36+Q36+T36)</f>
        <v>118440</v>
      </c>
      <c r="V36" s="50"/>
    </row>
    <row r="37" spans="1:25" s="51" customFormat="1" ht="15">
      <c r="A37" s="111"/>
      <c r="B37" s="283" t="s">
        <v>516</v>
      </c>
      <c r="C37" s="585">
        <v>3</v>
      </c>
      <c r="D37" s="585">
        <v>1910</v>
      </c>
      <c r="E37" s="585">
        <f>C37*D37*12</f>
        <v>68760</v>
      </c>
      <c r="F37" s="585"/>
      <c r="G37" s="585">
        <v>1910</v>
      </c>
      <c r="H37" s="585">
        <f>F37*G37*12</f>
        <v>0</v>
      </c>
      <c r="I37" s="585"/>
      <c r="J37" s="585">
        <v>1910</v>
      </c>
      <c r="K37" s="585">
        <f>I37*J37*12</f>
        <v>0</v>
      </c>
      <c r="L37" s="585"/>
      <c r="M37" s="585">
        <v>1910</v>
      </c>
      <c r="N37" s="585">
        <f>L37*M37*12</f>
        <v>0</v>
      </c>
      <c r="O37" s="585">
        <v>1</v>
      </c>
      <c r="P37" s="585">
        <v>1910</v>
      </c>
      <c r="Q37" s="585">
        <f>O37*P37*12</f>
        <v>22920</v>
      </c>
      <c r="R37" s="585">
        <v>2</v>
      </c>
      <c r="S37" s="585">
        <v>1910</v>
      </c>
      <c r="T37" s="585">
        <f>R37*S37*12</f>
        <v>45840</v>
      </c>
      <c r="U37" s="583">
        <f t="shared" si="3"/>
        <v>137520</v>
      </c>
      <c r="V37" s="50"/>
    </row>
    <row r="38" spans="1:25" s="51" customFormat="1" ht="21.75" customHeight="1">
      <c r="A38" s="111"/>
      <c r="B38" s="283" t="s">
        <v>517</v>
      </c>
      <c r="C38" s="585">
        <v>5</v>
      </c>
      <c r="D38" s="585">
        <v>1767</v>
      </c>
      <c r="E38" s="585">
        <f>C38*D38*12</f>
        <v>106020</v>
      </c>
      <c r="F38" s="585">
        <v>5</v>
      </c>
      <c r="G38" s="585">
        <v>1767</v>
      </c>
      <c r="H38" s="585">
        <f>F38*G38*12</f>
        <v>106020</v>
      </c>
      <c r="I38" s="585">
        <v>6</v>
      </c>
      <c r="J38" s="585">
        <v>1767</v>
      </c>
      <c r="K38" s="585">
        <f>I38*J38*12</f>
        <v>127224</v>
      </c>
      <c r="L38" s="585">
        <v>2</v>
      </c>
      <c r="M38" s="585">
        <v>1767</v>
      </c>
      <c r="N38" s="585">
        <f>L38*M38*12</f>
        <v>42408</v>
      </c>
      <c r="O38" s="585">
        <v>4</v>
      </c>
      <c r="P38" s="585">
        <v>1767</v>
      </c>
      <c r="Q38" s="585">
        <f>O38*P38*12</f>
        <v>84816</v>
      </c>
      <c r="R38" s="585">
        <v>2</v>
      </c>
      <c r="S38" s="585">
        <v>1767</v>
      </c>
      <c r="T38" s="585">
        <f>R38*S38*12</f>
        <v>42408</v>
      </c>
      <c r="U38" s="583">
        <f t="shared" si="3"/>
        <v>508896</v>
      </c>
      <c r="V38" s="50"/>
    </row>
    <row r="39" spans="1:25" s="51" customFormat="1" ht="20.25" customHeight="1">
      <c r="A39" s="111"/>
      <c r="B39" s="283" t="s">
        <v>392</v>
      </c>
      <c r="C39" s="585">
        <v>8</v>
      </c>
      <c r="D39" s="587">
        <v>0.1</v>
      </c>
      <c r="E39" s="585">
        <f>C39*1390*12*0.1</f>
        <v>13344</v>
      </c>
      <c r="F39" s="585">
        <v>6</v>
      </c>
      <c r="G39" s="587"/>
      <c r="H39" s="585">
        <f>F39*1390*12*0.1</f>
        <v>10008</v>
      </c>
      <c r="I39" s="585">
        <v>6</v>
      </c>
      <c r="J39" s="587">
        <v>0.1</v>
      </c>
      <c r="K39" s="585">
        <f>I39*1390*12*0.1</f>
        <v>10008</v>
      </c>
      <c r="L39" s="585">
        <v>3</v>
      </c>
      <c r="M39" s="587">
        <v>0.1</v>
      </c>
      <c r="N39" s="585">
        <f>L39*1390*12*0.1</f>
        <v>5004</v>
      </c>
      <c r="O39" s="585">
        <v>8</v>
      </c>
      <c r="P39" s="587"/>
      <c r="Q39" s="585">
        <f>O39*1390*12*0.1</f>
        <v>13344</v>
      </c>
      <c r="R39" s="587"/>
      <c r="S39" s="587"/>
      <c r="T39" s="585">
        <f>R39*1150*12*0.1</f>
        <v>0</v>
      </c>
      <c r="U39" s="583">
        <f t="shared" si="3"/>
        <v>51708</v>
      </c>
      <c r="V39" s="50"/>
    </row>
    <row r="40" spans="1:25" ht="36" hidden="1" customHeight="1">
      <c r="A40" s="109" t="s">
        <v>549</v>
      </c>
      <c r="B40" s="110" t="s">
        <v>393</v>
      </c>
      <c r="C40" s="585">
        <v>8</v>
      </c>
      <c r="D40" s="589">
        <v>4.4999999999999998E-2</v>
      </c>
      <c r="E40" s="583">
        <f>C40*D40*1390*12</f>
        <v>6004.7999999999993</v>
      </c>
      <c r="F40" s="583">
        <v>6</v>
      </c>
      <c r="G40" s="589">
        <v>4.4999999999999998E-2</v>
      </c>
      <c r="H40" s="583">
        <f>F40*G40*1390*12</f>
        <v>4503.6000000000004</v>
      </c>
      <c r="I40" s="583">
        <v>6</v>
      </c>
      <c r="J40" s="589">
        <v>4.4999999999999998E-2</v>
      </c>
      <c r="K40" s="583">
        <f>I40*J40*1390*12</f>
        <v>4503.6000000000004</v>
      </c>
      <c r="L40" s="583">
        <v>3</v>
      </c>
      <c r="M40" s="589">
        <v>4.4999999999999998E-2</v>
      </c>
      <c r="N40" s="583">
        <f>L40*M40*1390*12</f>
        <v>2251.8000000000002</v>
      </c>
      <c r="O40" s="583">
        <v>8</v>
      </c>
      <c r="P40" s="589">
        <v>4.4999999999999998E-2</v>
      </c>
      <c r="Q40" s="583">
        <f>O40*P40*1390*12</f>
        <v>6004.7999999999993</v>
      </c>
      <c r="R40" s="583">
        <v>4</v>
      </c>
      <c r="S40" s="589">
        <v>4.4999999999999998E-2</v>
      </c>
      <c r="T40" s="585">
        <f>R40*S40*1390*12</f>
        <v>3002.3999999999996</v>
      </c>
      <c r="U40" s="583">
        <f t="shared" si="3"/>
        <v>26271</v>
      </c>
      <c r="V40" s="50"/>
    </row>
    <row r="41" spans="1:25" ht="15">
      <c r="A41" s="109" t="s">
        <v>550</v>
      </c>
      <c r="B41" s="110" t="s">
        <v>241</v>
      </c>
      <c r="C41" s="583">
        <v>32</v>
      </c>
      <c r="D41" s="586">
        <f>0.045</f>
        <v>4.4999999999999998E-2</v>
      </c>
      <c r="E41" s="583">
        <f>C41*D41*1390*12</f>
        <v>24019.199999999997</v>
      </c>
      <c r="F41" s="583">
        <v>37</v>
      </c>
      <c r="G41" s="586">
        <f>0.045</f>
        <v>4.4999999999999998E-2</v>
      </c>
      <c r="H41" s="583">
        <f>F41*G41*1390*12</f>
        <v>27772.199999999997</v>
      </c>
      <c r="I41" s="583">
        <v>29</v>
      </c>
      <c r="J41" s="586">
        <f>0.045</f>
        <v>4.4999999999999998E-2</v>
      </c>
      <c r="K41" s="583">
        <f>I41*J41*1390*12</f>
        <v>21767.399999999998</v>
      </c>
      <c r="L41" s="583">
        <v>42</v>
      </c>
      <c r="M41" s="586">
        <f>0.045</f>
        <v>4.4999999999999998E-2</v>
      </c>
      <c r="N41" s="583">
        <f>L41*M41*1390*12</f>
        <v>31525.199999999997</v>
      </c>
      <c r="O41" s="583">
        <v>33</v>
      </c>
      <c r="P41" s="586">
        <f>0.045</f>
        <v>4.4999999999999998E-2</v>
      </c>
      <c r="Q41" s="583">
        <f>O41*P41*1390*12</f>
        <v>24769.799999999996</v>
      </c>
      <c r="R41" s="583">
        <v>58</v>
      </c>
      <c r="S41" s="586">
        <f>0.045</f>
        <v>4.4999999999999998E-2</v>
      </c>
      <c r="T41" s="583">
        <f>R41*S41*1390*12</f>
        <v>43534.799999999996</v>
      </c>
      <c r="U41" s="583">
        <f t="shared" si="3"/>
        <v>173388.59999999998</v>
      </c>
      <c r="V41" s="50"/>
      <c r="W41" s="348"/>
      <c r="X41" s="348"/>
      <c r="Y41" s="348"/>
    </row>
    <row r="42" spans="1:25" ht="15">
      <c r="A42" s="109" t="s">
        <v>549</v>
      </c>
      <c r="B42" s="110" t="s">
        <v>1160</v>
      </c>
      <c r="C42" s="583">
        <v>83</v>
      </c>
      <c r="D42" s="586">
        <f>0.045</f>
        <v>4.4999999999999998E-2</v>
      </c>
      <c r="E42" s="583">
        <f>C42*D42*1390*12</f>
        <v>62299.799999999996</v>
      </c>
      <c r="F42" s="583">
        <v>82</v>
      </c>
      <c r="G42" s="586">
        <v>4.4999999999999998E-2</v>
      </c>
      <c r="H42" s="583">
        <f>F42*G42*1390*12</f>
        <v>61549.200000000004</v>
      </c>
      <c r="I42" s="583">
        <v>338</v>
      </c>
      <c r="J42" s="586">
        <v>4.4999999999999998E-2</v>
      </c>
      <c r="K42" s="583">
        <f>I42*J42*1390*12</f>
        <v>253702.8</v>
      </c>
      <c r="L42" s="583">
        <v>248</v>
      </c>
      <c r="M42" s="586">
        <v>4.4999999999999998E-2</v>
      </c>
      <c r="N42" s="583">
        <f>L42*M42*1390*12</f>
        <v>186148.8</v>
      </c>
      <c r="O42" s="583">
        <v>127</v>
      </c>
      <c r="P42" s="586">
        <f>0.045</f>
        <v>4.4999999999999998E-2</v>
      </c>
      <c r="Q42" s="583">
        <f>O42*P42*1390*12</f>
        <v>95326.2</v>
      </c>
      <c r="R42" s="583">
        <v>169</v>
      </c>
      <c r="S42" s="586">
        <v>4.4999999999999998E-2</v>
      </c>
      <c r="T42" s="583">
        <f>R42*S42*1390*12</f>
        <v>126851.4</v>
      </c>
      <c r="U42" s="583">
        <f>SUM(E42+H42+K42+N42+Q42+T42)</f>
        <v>785878.2</v>
      </c>
      <c r="V42" s="50"/>
      <c r="W42" s="348"/>
      <c r="X42" s="348"/>
      <c r="Y42" s="348"/>
    </row>
    <row r="43" spans="1:25" ht="15">
      <c r="A43" s="109" t="s">
        <v>551</v>
      </c>
      <c r="B43" s="110" t="s">
        <v>242</v>
      </c>
      <c r="C43" s="583"/>
      <c r="D43" s="583"/>
      <c r="E43" s="583"/>
      <c r="F43" s="583"/>
      <c r="G43" s="583"/>
      <c r="H43" s="583"/>
      <c r="I43" s="583"/>
      <c r="J43" s="583"/>
      <c r="K43" s="583"/>
      <c r="L43" s="583"/>
      <c r="M43" s="583"/>
      <c r="N43" s="583"/>
      <c r="O43" s="583"/>
      <c r="P43" s="583"/>
      <c r="Q43" s="583"/>
      <c r="R43" s="583"/>
      <c r="S43" s="583"/>
      <c r="T43" s="583"/>
      <c r="U43" s="583"/>
      <c r="V43" s="50"/>
    </row>
    <row r="44" spans="1:25" s="51" customFormat="1" ht="15">
      <c r="A44" s="111"/>
      <c r="B44" s="283" t="s">
        <v>243</v>
      </c>
      <c r="C44" s="585">
        <v>3</v>
      </c>
      <c r="D44" s="585">
        <v>120</v>
      </c>
      <c r="E44" s="585">
        <f>C44*D44*12</f>
        <v>4320</v>
      </c>
      <c r="F44" s="585">
        <v>2</v>
      </c>
      <c r="G44" s="585">
        <v>120</v>
      </c>
      <c r="H44" s="585">
        <f>F44*G44*12</f>
        <v>2880</v>
      </c>
      <c r="I44" s="585">
        <v>1</v>
      </c>
      <c r="J44" s="585">
        <v>120</v>
      </c>
      <c r="K44" s="585">
        <f>I44*J44*12</f>
        <v>1440</v>
      </c>
      <c r="L44" s="585">
        <v>4</v>
      </c>
      <c r="M44" s="585">
        <v>120</v>
      </c>
      <c r="N44" s="585">
        <f>L44*M44*12</f>
        <v>5760</v>
      </c>
      <c r="O44" s="585">
        <v>4</v>
      </c>
      <c r="P44" s="585">
        <v>120</v>
      </c>
      <c r="Q44" s="585">
        <f>O44*P44*12</f>
        <v>5760</v>
      </c>
      <c r="R44" s="585">
        <v>4</v>
      </c>
      <c r="S44" s="585">
        <v>120</v>
      </c>
      <c r="T44" s="585">
        <f>R44*S44*12</f>
        <v>5760</v>
      </c>
      <c r="U44" s="583">
        <f>SUM(E44+H44+K44+Q44+T44+N44)</f>
        <v>25920</v>
      </c>
      <c r="V44" s="50"/>
    </row>
    <row r="45" spans="1:25" s="51" customFormat="1" ht="15">
      <c r="A45" s="111"/>
      <c r="B45" s="283" t="s">
        <v>244</v>
      </c>
      <c r="C45" s="585">
        <v>3</v>
      </c>
      <c r="D45" s="586">
        <f>0.045</f>
        <v>4.4999999999999998E-2</v>
      </c>
      <c r="E45" s="583">
        <f>C45*D45*1300*12</f>
        <v>2106</v>
      </c>
      <c r="F45" s="585">
        <v>2</v>
      </c>
      <c r="G45" s="586">
        <f>0.045</f>
        <v>4.4999999999999998E-2</v>
      </c>
      <c r="H45" s="583">
        <f>F45*G45*1390*12</f>
        <v>1501.1999999999998</v>
      </c>
      <c r="I45" s="585">
        <v>1</v>
      </c>
      <c r="J45" s="586">
        <f>0.045</f>
        <v>4.4999999999999998E-2</v>
      </c>
      <c r="K45" s="583">
        <f>I45*J45*1390*12</f>
        <v>750.59999999999991</v>
      </c>
      <c r="L45" s="585">
        <v>4</v>
      </c>
      <c r="M45" s="586">
        <v>4.4999999999999998E-2</v>
      </c>
      <c r="N45" s="585">
        <f>L45*M45*12*1390</f>
        <v>3002.4</v>
      </c>
      <c r="O45" s="585">
        <v>3</v>
      </c>
      <c r="P45" s="586">
        <f>0.045</f>
        <v>4.4999999999999998E-2</v>
      </c>
      <c r="Q45" s="583">
        <f>O45*P45*1390*12</f>
        <v>2251.8000000000002</v>
      </c>
      <c r="R45" s="585">
        <v>4</v>
      </c>
      <c r="S45" s="586">
        <f>0.045</f>
        <v>4.4999999999999998E-2</v>
      </c>
      <c r="T45" s="583">
        <f>R45*S45*1390*12</f>
        <v>3002.3999999999996</v>
      </c>
      <c r="U45" s="583">
        <f>SUM(E45+H45+K45+Q45+T45+N45)</f>
        <v>12614.4</v>
      </c>
      <c r="V45" s="50"/>
    </row>
    <row r="46" spans="1:25" s="50" customFormat="1" ht="14.25">
      <c r="A46" s="105">
        <v>5</v>
      </c>
      <c r="B46" s="106" t="s">
        <v>245</v>
      </c>
      <c r="C46" s="582"/>
      <c r="D46" s="582"/>
      <c r="E46" s="582">
        <f>E47+E48</f>
        <v>80840</v>
      </c>
      <c r="F46" s="599"/>
      <c r="G46" s="599"/>
      <c r="H46" s="582">
        <f>H47+H48</f>
        <v>71720</v>
      </c>
      <c r="I46" s="582"/>
      <c r="J46" s="582"/>
      <c r="K46" s="582">
        <f>K47+K48</f>
        <v>68840</v>
      </c>
      <c r="L46" s="582"/>
      <c r="M46" s="582"/>
      <c r="N46" s="582">
        <f>N47+N48</f>
        <v>81080</v>
      </c>
      <c r="O46" s="582"/>
      <c r="P46" s="582"/>
      <c r="Q46" s="582">
        <f>Q47+Q48</f>
        <v>73880</v>
      </c>
      <c r="R46" s="582"/>
      <c r="S46" s="582"/>
      <c r="T46" s="582">
        <f>T47+T48</f>
        <v>40800</v>
      </c>
      <c r="U46" s="582">
        <f>U47+U48</f>
        <v>417160</v>
      </c>
    </row>
    <row r="47" spans="1:25" ht="15.75" customHeight="1">
      <c r="A47" s="109" t="s">
        <v>550</v>
      </c>
      <c r="B47" s="110" t="s">
        <v>512</v>
      </c>
      <c r="C47" s="583"/>
      <c r="D47" s="583"/>
      <c r="E47" s="583">
        <v>35000</v>
      </c>
      <c r="F47" s="583">
        <v>0</v>
      </c>
      <c r="G47" s="583">
        <v>0</v>
      </c>
      <c r="H47" s="583">
        <v>35000</v>
      </c>
      <c r="I47" s="583">
        <v>0</v>
      </c>
      <c r="J47" s="583">
        <v>0</v>
      </c>
      <c r="K47" s="583">
        <v>35000</v>
      </c>
      <c r="L47" s="583">
        <v>0</v>
      </c>
      <c r="M47" s="583">
        <v>0</v>
      </c>
      <c r="N47" s="583">
        <v>35000</v>
      </c>
      <c r="O47" s="583">
        <v>0</v>
      </c>
      <c r="P47" s="583">
        <v>0</v>
      </c>
      <c r="Q47" s="583">
        <v>35000</v>
      </c>
      <c r="R47" s="583">
        <v>0</v>
      </c>
      <c r="S47" s="583">
        <v>0</v>
      </c>
      <c r="T47" s="583">
        <v>30000</v>
      </c>
      <c r="U47" s="583">
        <f t="shared" ref="U47:U53" si="4">SUM(E47+H47+K47+N47+Q47+T47)</f>
        <v>205000</v>
      </c>
      <c r="V47" s="50"/>
    </row>
    <row r="48" spans="1:25" ht="16.5" customHeight="1">
      <c r="A48" s="109" t="s">
        <v>550</v>
      </c>
      <c r="B48" s="110" t="s">
        <v>246</v>
      </c>
      <c r="C48" s="583"/>
      <c r="D48" s="583"/>
      <c r="E48" s="583">
        <f>SUM(E49:E52)</f>
        <v>45840</v>
      </c>
      <c r="F48" s="583"/>
      <c r="G48" s="583"/>
      <c r="H48" s="583">
        <f>SUM(H49:H52)</f>
        <v>36720</v>
      </c>
      <c r="I48" s="583"/>
      <c r="J48" s="583"/>
      <c r="K48" s="583">
        <f>SUM(K49:K52)</f>
        <v>33840</v>
      </c>
      <c r="L48" s="583"/>
      <c r="M48" s="583"/>
      <c r="N48" s="583">
        <f>SUM(N49:N52)</f>
        <v>46080</v>
      </c>
      <c r="O48" s="583"/>
      <c r="P48" s="583"/>
      <c r="Q48" s="583">
        <f>SUM(Q49:Q52)</f>
        <v>38880</v>
      </c>
      <c r="R48" s="583"/>
      <c r="S48" s="583"/>
      <c r="T48" s="583">
        <f>SUM(T49:T53)</f>
        <v>10800</v>
      </c>
      <c r="U48" s="583">
        <f t="shared" si="4"/>
        <v>212160</v>
      </c>
      <c r="V48" s="50"/>
    </row>
    <row r="49" spans="1:27" ht="17.25" customHeight="1">
      <c r="A49" s="109"/>
      <c r="B49" s="283" t="s">
        <v>247</v>
      </c>
      <c r="C49" s="600">
        <v>1</v>
      </c>
      <c r="D49" s="583"/>
      <c r="E49" s="583">
        <f>C49*D49*12</f>
        <v>0</v>
      </c>
      <c r="F49" s="583">
        <v>1</v>
      </c>
      <c r="G49" s="583"/>
      <c r="H49" s="583">
        <f>F49*G49*12</f>
        <v>0</v>
      </c>
      <c r="I49" s="583"/>
      <c r="J49" s="583">
        <v>180</v>
      </c>
      <c r="K49" s="583">
        <f>I49*J49*12</f>
        <v>0</v>
      </c>
      <c r="L49" s="583">
        <v>0</v>
      </c>
      <c r="M49" s="583">
        <v>180</v>
      </c>
      <c r="N49" s="583">
        <f>L49*M49*12</f>
        <v>0</v>
      </c>
      <c r="O49" s="583">
        <v>1</v>
      </c>
      <c r="P49" s="583">
        <v>180</v>
      </c>
      <c r="Q49" s="583">
        <f>O49*P49*12</f>
        <v>2160</v>
      </c>
      <c r="R49" s="583"/>
      <c r="S49" s="583"/>
      <c r="T49" s="583"/>
      <c r="U49" s="583">
        <f t="shared" si="4"/>
        <v>2160</v>
      </c>
      <c r="V49" s="50"/>
    </row>
    <row r="50" spans="1:27" ht="18.75" customHeight="1">
      <c r="A50" s="109"/>
      <c r="B50" s="283" t="s">
        <v>300</v>
      </c>
      <c r="C50" s="600">
        <v>1</v>
      </c>
      <c r="D50" s="583">
        <v>160</v>
      </c>
      <c r="E50" s="583">
        <f>C50*D50*12</f>
        <v>1920</v>
      </c>
      <c r="F50" s="583">
        <v>1</v>
      </c>
      <c r="G50" s="583">
        <v>160</v>
      </c>
      <c r="H50" s="583">
        <f>F50*G50*12</f>
        <v>1920</v>
      </c>
      <c r="I50" s="583">
        <v>1</v>
      </c>
      <c r="J50" s="583">
        <v>160</v>
      </c>
      <c r="K50" s="583">
        <f>I50*J50*12</f>
        <v>1920</v>
      </c>
      <c r="L50" s="583">
        <v>1</v>
      </c>
      <c r="M50" s="583">
        <v>160</v>
      </c>
      <c r="N50" s="583">
        <f>L50*M50*12</f>
        <v>1920</v>
      </c>
      <c r="O50" s="583">
        <v>2</v>
      </c>
      <c r="P50" s="583">
        <v>160</v>
      </c>
      <c r="Q50" s="583">
        <f>O50*P50*12</f>
        <v>3840</v>
      </c>
      <c r="R50" s="583"/>
      <c r="S50" s="583"/>
      <c r="T50" s="583"/>
      <c r="U50" s="583">
        <f t="shared" si="4"/>
        <v>11520</v>
      </c>
      <c r="V50" s="50"/>
    </row>
    <row r="51" spans="1:27" ht="15">
      <c r="A51" s="109"/>
      <c r="B51" s="283" t="s">
        <v>301</v>
      </c>
      <c r="C51" s="600">
        <v>9</v>
      </c>
      <c r="D51" s="583">
        <v>140</v>
      </c>
      <c r="E51" s="583">
        <f>C51*D51*12</f>
        <v>15120</v>
      </c>
      <c r="F51" s="583">
        <v>7</v>
      </c>
      <c r="G51" s="583">
        <v>140</v>
      </c>
      <c r="H51" s="583">
        <f>F51*G51*12</f>
        <v>11760</v>
      </c>
      <c r="I51" s="583">
        <v>7</v>
      </c>
      <c r="J51" s="583">
        <v>140</v>
      </c>
      <c r="K51" s="583">
        <f>I51*J51*12</f>
        <v>11760</v>
      </c>
      <c r="L51" s="583">
        <v>10</v>
      </c>
      <c r="M51" s="583">
        <v>140</v>
      </c>
      <c r="N51" s="583">
        <f>L51*M51*12</f>
        <v>16800</v>
      </c>
      <c r="O51" s="583">
        <v>5</v>
      </c>
      <c r="P51" s="583">
        <v>140</v>
      </c>
      <c r="Q51" s="583">
        <f>O51*P51*12</f>
        <v>8400</v>
      </c>
      <c r="R51" s="583"/>
      <c r="S51" s="583"/>
      <c r="T51" s="583"/>
      <c r="U51" s="583">
        <f t="shared" si="4"/>
        <v>63840</v>
      </c>
      <c r="V51" s="50"/>
    </row>
    <row r="52" spans="1:27" ht="15">
      <c r="A52" s="109"/>
      <c r="B52" s="283" t="s">
        <v>248</v>
      </c>
      <c r="C52" s="600">
        <v>20</v>
      </c>
      <c r="D52" s="583">
        <v>120</v>
      </c>
      <c r="E52" s="583">
        <f>C52*D52*12</f>
        <v>28800</v>
      </c>
      <c r="F52" s="583">
        <v>16</v>
      </c>
      <c r="G52" s="583">
        <v>120</v>
      </c>
      <c r="H52" s="583">
        <f>F52*G52*12</f>
        <v>23040</v>
      </c>
      <c r="I52" s="583">
        <v>14</v>
      </c>
      <c r="J52" s="583">
        <v>120</v>
      </c>
      <c r="K52" s="583">
        <f>I52*J52*12</f>
        <v>20160</v>
      </c>
      <c r="L52" s="583">
        <v>19</v>
      </c>
      <c r="M52" s="583">
        <v>120</v>
      </c>
      <c r="N52" s="583">
        <f>L52*M52*12</f>
        <v>27360</v>
      </c>
      <c r="O52" s="583">
        <v>17</v>
      </c>
      <c r="P52" s="583">
        <v>120</v>
      </c>
      <c r="Q52" s="583">
        <f>O52*P52*12</f>
        <v>24480</v>
      </c>
      <c r="R52" s="583"/>
      <c r="S52" s="583"/>
      <c r="T52" s="583"/>
      <c r="U52" s="583">
        <f t="shared" si="4"/>
        <v>123840</v>
      </c>
      <c r="V52" s="50"/>
    </row>
    <row r="53" spans="1:27" ht="15">
      <c r="A53" s="109"/>
      <c r="B53" s="283" t="s">
        <v>322</v>
      </c>
      <c r="C53" s="600"/>
      <c r="D53" s="583"/>
      <c r="E53" s="583"/>
      <c r="F53" s="583"/>
      <c r="G53" s="583"/>
      <c r="H53" s="583"/>
      <c r="I53" s="583"/>
      <c r="J53" s="583"/>
      <c r="K53" s="583"/>
      <c r="L53" s="583"/>
      <c r="M53" s="583"/>
      <c r="N53" s="583"/>
      <c r="O53" s="583"/>
      <c r="P53" s="583"/>
      <c r="Q53" s="583"/>
      <c r="R53" s="583">
        <v>9</v>
      </c>
      <c r="S53" s="583">
        <v>100</v>
      </c>
      <c r="T53" s="583">
        <f>R53*S53*12</f>
        <v>10800</v>
      </c>
      <c r="U53" s="583">
        <f t="shared" si="4"/>
        <v>10800</v>
      </c>
      <c r="V53" s="50"/>
    </row>
    <row r="54" spans="1:27" s="50" customFormat="1" ht="14.25">
      <c r="A54" s="105">
        <v>6</v>
      </c>
      <c r="B54" s="106" t="s">
        <v>249</v>
      </c>
      <c r="C54" s="582"/>
      <c r="D54" s="601"/>
      <c r="E54" s="582">
        <f>E55+E56+E57+E58</f>
        <v>141878.79999999999</v>
      </c>
      <c r="F54" s="582"/>
      <c r="G54" s="582"/>
      <c r="H54" s="582">
        <f>H55+H56+H57+H58+H59</f>
        <v>161937.52000000002</v>
      </c>
      <c r="I54" s="582"/>
      <c r="J54" s="582"/>
      <c r="K54" s="582">
        <f>K55+K56+K57+K58</f>
        <v>130265.848</v>
      </c>
      <c r="L54" s="582"/>
      <c r="M54" s="582"/>
      <c r="N54" s="582">
        <f>N55+N56+N57+N58</f>
        <v>139543.6</v>
      </c>
      <c r="O54" s="582"/>
      <c r="P54" s="582"/>
      <c r="Q54" s="582">
        <f>Q55+Q56+Q57+Q58+Q59</f>
        <v>139667.79999999999</v>
      </c>
      <c r="R54" s="582"/>
      <c r="S54" s="582"/>
      <c r="T54" s="582">
        <f>T55+T56+T57+T58</f>
        <v>147730.144</v>
      </c>
      <c r="U54" s="582">
        <f>U55+U56+U57+U58+U59</f>
        <v>861023.71200000006</v>
      </c>
    </row>
    <row r="55" spans="1:27" ht="15">
      <c r="A55" s="109"/>
      <c r="B55" s="110" t="s">
        <v>512</v>
      </c>
      <c r="C55" s="583"/>
      <c r="D55" s="582"/>
      <c r="E55" s="583">
        <v>40000</v>
      </c>
      <c r="F55" s="583"/>
      <c r="G55" s="583"/>
      <c r="H55" s="583">
        <v>40000</v>
      </c>
      <c r="I55" s="583"/>
      <c r="J55" s="583"/>
      <c r="K55" s="583">
        <v>40000</v>
      </c>
      <c r="L55" s="583"/>
      <c r="M55" s="583"/>
      <c r="N55" s="583">
        <v>40000</v>
      </c>
      <c r="O55" s="583"/>
      <c r="P55" s="583"/>
      <c r="Q55" s="583">
        <v>40000</v>
      </c>
      <c r="R55" s="583"/>
      <c r="S55" s="583"/>
      <c r="T55" s="583">
        <v>40000</v>
      </c>
      <c r="U55" s="583">
        <f>SUM(E55+H55+K55+N55+Q55+T55)</f>
        <v>240000</v>
      </c>
      <c r="V55" s="50"/>
    </row>
    <row r="56" spans="1:27" ht="15">
      <c r="A56" s="109"/>
      <c r="B56" s="166" t="s">
        <v>250</v>
      </c>
      <c r="C56" s="592"/>
      <c r="D56" s="593"/>
      <c r="E56" s="592">
        <f>(3.41)*1390*12</f>
        <v>56878.8</v>
      </c>
      <c r="F56" s="592"/>
      <c r="G56" s="602"/>
      <c r="H56" s="592">
        <f>2.814*1390*12</f>
        <v>46937.520000000004</v>
      </c>
      <c r="I56" s="592"/>
      <c r="J56" s="593"/>
      <c r="K56" s="592">
        <f>(1798.354+1973.8)*12</f>
        <v>45265.847999999998</v>
      </c>
      <c r="L56" s="602"/>
      <c r="M56" s="602"/>
      <c r="N56" s="592">
        <f>(3224.8+986.9+333.6)*12</f>
        <v>54543.600000000006</v>
      </c>
      <c r="O56" s="603"/>
      <c r="P56" s="604"/>
      <c r="Q56" s="592">
        <f>34557.6+4286.3+3720+1794.7+8857.2+1452</f>
        <v>54667.8</v>
      </c>
      <c r="R56" s="602"/>
      <c r="S56" s="593"/>
      <c r="T56" s="592">
        <f>5227.512*12</f>
        <v>62730.144</v>
      </c>
      <c r="U56" s="592">
        <f>SUM(E56+H56+K56+N56+Q56+T56)</f>
        <v>321023.71200000006</v>
      </c>
      <c r="V56" s="50"/>
      <c r="W56" s="167"/>
      <c r="X56" s="167"/>
      <c r="Y56" s="167"/>
      <c r="Z56" s="167"/>
      <c r="AA56" s="167"/>
    </row>
    <row r="57" spans="1:27" ht="15">
      <c r="A57" s="109"/>
      <c r="B57" s="254" t="s">
        <v>302</v>
      </c>
      <c r="C57" s="583"/>
      <c r="D57" s="588"/>
      <c r="E57" s="583">
        <v>15000</v>
      </c>
      <c r="F57" s="583"/>
      <c r="G57" s="605"/>
      <c r="H57" s="583">
        <v>15000</v>
      </c>
      <c r="I57" s="583"/>
      <c r="J57" s="588"/>
      <c r="K57" s="583">
        <v>15000</v>
      </c>
      <c r="L57" s="605"/>
      <c r="M57" s="605"/>
      <c r="N57" s="583">
        <v>15000</v>
      </c>
      <c r="O57" s="583"/>
      <c r="P57" s="588"/>
      <c r="Q57" s="583">
        <v>15000</v>
      </c>
      <c r="R57" s="605"/>
      <c r="S57" s="588"/>
      <c r="T57" s="583">
        <v>15000</v>
      </c>
      <c r="U57" s="583">
        <f>SUM(E57+H57+K57+N57+Q57+T57)</f>
        <v>90000</v>
      </c>
      <c r="V57" s="50"/>
    </row>
    <row r="58" spans="1:27" ht="15">
      <c r="A58" s="109"/>
      <c r="B58" s="254" t="s">
        <v>767</v>
      </c>
      <c r="C58" s="583"/>
      <c r="D58" s="588"/>
      <c r="E58" s="583">
        <v>30000</v>
      </c>
      <c r="F58" s="583"/>
      <c r="G58" s="605"/>
      <c r="H58" s="583">
        <v>30000</v>
      </c>
      <c r="I58" s="583"/>
      <c r="J58" s="588"/>
      <c r="K58" s="583">
        <v>30000</v>
      </c>
      <c r="L58" s="605"/>
      <c r="M58" s="605"/>
      <c r="N58" s="583">
        <v>30000</v>
      </c>
      <c r="O58" s="583"/>
      <c r="P58" s="588"/>
      <c r="Q58" s="583">
        <v>30000</v>
      </c>
      <c r="R58" s="605"/>
      <c r="S58" s="588"/>
      <c r="T58" s="583">
        <v>30000</v>
      </c>
      <c r="U58" s="583">
        <f>SUM(E58+H58+K58+N58+Q58+T58)</f>
        <v>180000</v>
      </c>
      <c r="V58" s="50"/>
    </row>
    <row r="59" spans="1:27" ht="30">
      <c r="A59" s="109"/>
      <c r="B59" s="254" t="s">
        <v>768</v>
      </c>
      <c r="C59" s="583"/>
      <c r="D59" s="588"/>
      <c r="E59" s="583"/>
      <c r="F59" s="583"/>
      <c r="G59" s="605"/>
      <c r="H59" s="583">
        <v>30000</v>
      </c>
      <c r="I59" s="583"/>
      <c r="J59" s="588"/>
      <c r="K59" s="583"/>
      <c r="L59" s="605"/>
      <c r="M59" s="605"/>
      <c r="N59" s="583"/>
      <c r="O59" s="583"/>
      <c r="P59" s="588"/>
      <c r="Q59" s="583"/>
      <c r="R59" s="605"/>
      <c r="S59" s="588"/>
      <c r="T59" s="583"/>
      <c r="U59" s="583">
        <f>SUM(E59+H59+K59+N59+Q59+T59)</f>
        <v>30000</v>
      </c>
      <c r="V59" s="50"/>
    </row>
    <row r="60" spans="1:27" s="50" customFormat="1" ht="14.25">
      <c r="A60" s="105"/>
      <c r="B60" s="106" t="s">
        <v>303</v>
      </c>
      <c r="C60" s="606"/>
      <c r="D60" s="582"/>
      <c r="E60" s="582">
        <f>E9+E30+E33+E54+E46</f>
        <v>4314263.4455000004</v>
      </c>
      <c r="F60" s="582"/>
      <c r="G60" s="582"/>
      <c r="H60" s="582">
        <f>(H9+H30+H46+H54+H33)</f>
        <v>4102177.8301249999</v>
      </c>
      <c r="I60" s="582"/>
      <c r="J60" s="582"/>
      <c r="K60" s="582">
        <f>(K9+K30+K46+K54+K33)</f>
        <v>4330923.7455000002</v>
      </c>
      <c r="L60" s="582"/>
      <c r="M60" s="582"/>
      <c r="N60" s="582">
        <f>N9+N30+N33+N54+N46</f>
        <v>4278265.9943375001</v>
      </c>
      <c r="O60" s="582"/>
      <c r="P60" s="582"/>
      <c r="Q60" s="582">
        <f>Q9+Q30+Q33+Q54+Q46</f>
        <v>4449566.5874999994</v>
      </c>
      <c r="R60" s="582"/>
      <c r="S60" s="582"/>
      <c r="T60" s="582">
        <f>T9+T30+T33+T54+T46</f>
        <v>4048572.5729999999</v>
      </c>
      <c r="U60" s="582">
        <f>U9+U30+U33+U54+U46</f>
        <v>25523770.1759625</v>
      </c>
    </row>
    <row r="61" spans="1:27" s="50" customFormat="1" ht="30.75" customHeight="1">
      <c r="A61" s="105">
        <v>7</v>
      </c>
      <c r="B61" s="106" t="s">
        <v>251</v>
      </c>
      <c r="C61" s="582"/>
      <c r="D61" s="582"/>
      <c r="E61" s="582">
        <f>SUM(E62:E65)</f>
        <v>249903.37873</v>
      </c>
      <c r="F61" s="582">
        <v>0</v>
      </c>
      <c r="G61" s="582">
        <v>0</v>
      </c>
      <c r="H61" s="582">
        <f>SUM(H62:H65)</f>
        <v>238115.33780749998</v>
      </c>
      <c r="I61" s="582">
        <v>0</v>
      </c>
      <c r="J61" s="582">
        <v>0</v>
      </c>
      <c r="K61" s="582">
        <f>SUM(K62:K65)</f>
        <v>239951.64072999998</v>
      </c>
      <c r="L61" s="582">
        <v>0</v>
      </c>
      <c r="M61" s="582">
        <v>0</v>
      </c>
      <c r="N61" s="582">
        <f>SUM(N62:N65)</f>
        <v>263648.66766024998</v>
      </c>
      <c r="O61" s="582">
        <v>0</v>
      </c>
      <c r="P61" s="582">
        <v>0</v>
      </c>
      <c r="Q61" s="582">
        <f>SUM(Q62:Q65)</f>
        <v>253658.59924999994</v>
      </c>
      <c r="R61" s="582">
        <v>0</v>
      </c>
      <c r="S61" s="582">
        <v>0</v>
      </c>
      <c r="T61" s="582">
        <f>SUM(T62:T65)</f>
        <v>233950.41437999997</v>
      </c>
      <c r="U61" s="582">
        <f>U62+U63+U65+U64</f>
        <v>1479228.0385577497</v>
      </c>
    </row>
    <row r="62" spans="1:27" ht="15">
      <c r="A62" s="109"/>
      <c r="B62" s="110" t="s">
        <v>304</v>
      </c>
      <c r="C62" s="583"/>
      <c r="D62" s="583"/>
      <c r="E62" s="583">
        <f>6%*(E9+E30+E46+E54)</f>
        <v>239903.37873</v>
      </c>
      <c r="F62" s="583"/>
      <c r="G62" s="583"/>
      <c r="H62" s="583">
        <f>6%*(H9+H30+H46+H54)</f>
        <v>230115.33780749998</v>
      </c>
      <c r="I62" s="583"/>
      <c r="J62" s="583"/>
      <c r="K62" s="583">
        <f>6%*(K9+K30+K46+K54)</f>
        <v>232951.64072999998</v>
      </c>
      <c r="L62" s="583"/>
      <c r="M62" s="583"/>
      <c r="N62" s="583">
        <f>6%*(N9+N30+N46+N54)</f>
        <v>236968.66766024998</v>
      </c>
      <c r="O62" s="583"/>
      <c r="P62" s="583"/>
      <c r="Q62" s="583">
        <f>6%*(Q9+Q30+Q46+Q54)</f>
        <v>245658.59924999994</v>
      </c>
      <c r="R62" s="583">
        <f>10%*(R9+R30+R46+R54)</f>
        <v>0</v>
      </c>
      <c r="S62" s="583">
        <f>10%*(S9+S30+S46+S54)</f>
        <v>0</v>
      </c>
      <c r="T62" s="583">
        <f>6%*(T9+T30+T46+T54)</f>
        <v>224950.41437999997</v>
      </c>
      <c r="U62" s="583">
        <f t="shared" ref="U62:U66" si="5">SUM(E62+H62+K62+N62+Q62+T62)</f>
        <v>1410548.0385577497</v>
      </c>
      <c r="V62" s="50"/>
    </row>
    <row r="63" spans="1:27" s="167" customFormat="1" ht="15">
      <c r="A63" s="168"/>
      <c r="B63" s="166" t="s">
        <v>299</v>
      </c>
      <c r="C63" s="592"/>
      <c r="D63" s="592"/>
      <c r="E63" s="592"/>
      <c r="F63" s="592"/>
      <c r="G63" s="592"/>
      <c r="H63" s="592"/>
      <c r="I63" s="592"/>
      <c r="J63" s="592"/>
      <c r="K63" s="592"/>
      <c r="L63" s="592"/>
      <c r="M63" s="592"/>
      <c r="N63" s="592"/>
      <c r="O63" s="592"/>
      <c r="P63" s="592"/>
      <c r="Q63" s="592"/>
      <c r="R63" s="592"/>
      <c r="S63" s="592"/>
      <c r="T63" s="592"/>
      <c r="U63" s="583">
        <f t="shared" si="5"/>
        <v>0</v>
      </c>
      <c r="V63" s="50"/>
    </row>
    <row r="64" spans="1:27" s="167" customFormat="1" ht="30">
      <c r="A64" s="168"/>
      <c r="B64" s="110" t="s">
        <v>809</v>
      </c>
      <c r="C64" s="607">
        <v>10</v>
      </c>
      <c r="D64" s="583">
        <v>1000</v>
      </c>
      <c r="E64" s="583">
        <v>10000</v>
      </c>
      <c r="F64" s="583">
        <v>8</v>
      </c>
      <c r="G64" s="583">
        <v>1000</v>
      </c>
      <c r="H64" s="583">
        <v>8000</v>
      </c>
      <c r="I64" s="583">
        <v>7</v>
      </c>
      <c r="J64" s="583">
        <v>1000</v>
      </c>
      <c r="K64" s="583">
        <v>7000</v>
      </c>
      <c r="L64" s="583">
        <v>10</v>
      </c>
      <c r="M64" s="583">
        <v>1000</v>
      </c>
      <c r="N64" s="583">
        <v>10000</v>
      </c>
      <c r="O64" s="583">
        <v>8</v>
      </c>
      <c r="P64" s="583">
        <v>1000</v>
      </c>
      <c r="Q64" s="583">
        <v>8000</v>
      </c>
      <c r="R64" s="583">
        <v>9</v>
      </c>
      <c r="S64" s="583">
        <v>1000</v>
      </c>
      <c r="T64" s="583">
        <v>9000</v>
      </c>
      <c r="U64" s="583">
        <f t="shared" si="5"/>
        <v>52000</v>
      </c>
      <c r="V64" s="50"/>
    </row>
    <row r="65" spans="1:22" ht="15">
      <c r="A65" s="109"/>
      <c r="B65" s="110" t="s">
        <v>749</v>
      </c>
      <c r="C65" s="107"/>
      <c r="D65" s="107"/>
      <c r="E65" s="107"/>
      <c r="F65" s="107"/>
      <c r="G65" s="107"/>
      <c r="H65" s="107"/>
      <c r="I65" s="107"/>
      <c r="J65" s="107"/>
      <c r="K65" s="107"/>
      <c r="L65" s="107">
        <v>1</v>
      </c>
      <c r="M65" s="112">
        <v>1</v>
      </c>
      <c r="N65" s="107">
        <f>1*1390*12</f>
        <v>16680</v>
      </c>
      <c r="O65" s="107"/>
      <c r="P65" s="107"/>
      <c r="Q65" s="107"/>
      <c r="R65" s="107"/>
      <c r="S65" s="107"/>
      <c r="T65" s="107"/>
      <c r="U65" s="107">
        <f t="shared" si="5"/>
        <v>16680</v>
      </c>
      <c r="V65" s="50"/>
    </row>
    <row r="66" spans="1:22" s="50" customFormat="1" ht="28.5">
      <c r="A66" s="105">
        <v>8</v>
      </c>
      <c r="B66" s="106" t="s">
        <v>51</v>
      </c>
      <c r="C66" s="108"/>
      <c r="D66" s="108"/>
      <c r="E66" s="582">
        <f>(E60+E61)*0.5%+10000</f>
        <v>32820.834121150001</v>
      </c>
      <c r="F66" s="582">
        <v>0</v>
      </c>
      <c r="G66" s="582">
        <v>0</v>
      </c>
      <c r="H66" s="582">
        <f>(H60+H61)*0.5%+10000</f>
        <v>31701.465839662502</v>
      </c>
      <c r="I66" s="582">
        <v>0</v>
      </c>
      <c r="J66" s="582">
        <v>0</v>
      </c>
      <c r="K66" s="582">
        <f>(K60+K61)*0.5%+10000</f>
        <v>32854.376931150007</v>
      </c>
      <c r="L66" s="582">
        <v>0</v>
      </c>
      <c r="M66" s="582">
        <v>4</v>
      </c>
      <c r="N66" s="582">
        <f>(N60+N61)*0.5%+10000</f>
        <v>32709.573309988751</v>
      </c>
      <c r="O66" s="582">
        <v>0</v>
      </c>
      <c r="P66" s="582">
        <v>0</v>
      </c>
      <c r="Q66" s="582">
        <f>(Q60+Q61)*0.5%+10000</f>
        <v>33516.125933749994</v>
      </c>
      <c r="R66" s="582">
        <v>0</v>
      </c>
      <c r="S66" s="582">
        <v>0</v>
      </c>
      <c r="T66" s="582">
        <f>(T60+T61)*0.5%+10000</f>
        <v>31412.614936900001</v>
      </c>
      <c r="U66" s="108">
        <f t="shared" si="5"/>
        <v>195014.99107260126</v>
      </c>
    </row>
    <row r="67" spans="1:22" s="50" customFormat="1" ht="28.5">
      <c r="A67" s="105">
        <v>9</v>
      </c>
      <c r="B67" s="106" t="s">
        <v>1181</v>
      </c>
      <c r="C67" s="108"/>
      <c r="D67" s="108"/>
      <c r="E67" s="582">
        <v>255000</v>
      </c>
      <c r="F67" s="582"/>
      <c r="G67" s="582"/>
      <c r="H67" s="582">
        <v>255000</v>
      </c>
      <c r="I67" s="582"/>
      <c r="J67" s="582"/>
      <c r="K67" s="582">
        <v>280000</v>
      </c>
      <c r="L67" s="582"/>
      <c r="M67" s="582"/>
      <c r="N67" s="582">
        <v>290000</v>
      </c>
      <c r="O67" s="582"/>
      <c r="P67" s="582"/>
      <c r="Q67" s="582">
        <v>290000</v>
      </c>
      <c r="R67" s="582"/>
      <c r="S67" s="582"/>
      <c r="T67" s="582">
        <f>265870+117</f>
        <v>265987</v>
      </c>
      <c r="U67" s="582">
        <f>SUM(E67+H67+K67+N67+Q67+T67)</f>
        <v>1635987</v>
      </c>
    </row>
    <row r="68" spans="1:22" s="50" customFormat="1" ht="22.5" customHeight="1">
      <c r="A68" s="105">
        <v>10</v>
      </c>
      <c r="B68" s="106" t="s">
        <v>216</v>
      </c>
      <c r="C68" s="108"/>
      <c r="D68" s="108"/>
      <c r="E68" s="108"/>
      <c r="F68" s="108"/>
      <c r="G68" s="108"/>
      <c r="H68" s="108"/>
      <c r="I68" s="108"/>
      <c r="J68" s="108"/>
      <c r="K68" s="108"/>
      <c r="L68" s="108"/>
      <c r="M68" s="108"/>
      <c r="N68" s="108"/>
      <c r="O68" s="108"/>
      <c r="P68" s="108"/>
      <c r="Q68" s="108"/>
      <c r="R68" s="108"/>
      <c r="S68" s="108"/>
      <c r="T68" s="108">
        <v>1000000</v>
      </c>
      <c r="U68" s="108">
        <v>1000000</v>
      </c>
    </row>
    <row r="69" spans="1:22" s="50" customFormat="1" ht="23.25" customHeight="1">
      <c r="A69" s="113">
        <v>11</v>
      </c>
      <c r="B69" s="638" t="s">
        <v>205</v>
      </c>
      <c r="C69" s="114"/>
      <c r="D69" s="114"/>
      <c r="E69" s="114">
        <f>1.8%*(E60+E61+E66)</f>
        <v>82745.777850320723</v>
      </c>
      <c r="F69" s="114"/>
      <c r="G69" s="114"/>
      <c r="H69" s="114">
        <f>1.8%*(H60+H61+H66)</f>
        <v>78695.903407898935</v>
      </c>
      <c r="I69" s="114"/>
      <c r="J69" s="114"/>
      <c r="K69" s="114">
        <f>1.85%*(K60+K61+K66)</f>
        <v>85169.000618481296</v>
      </c>
      <c r="L69" s="114"/>
      <c r="M69" s="114"/>
      <c r="N69" s="114">
        <f>2%*(N60+N61+N66)</f>
        <v>91492.484706154777</v>
      </c>
      <c r="O69" s="114"/>
      <c r="P69" s="114"/>
      <c r="Q69" s="114">
        <f>2%*(Q60+Q61+Q66)</f>
        <v>94734.826253674983</v>
      </c>
      <c r="R69" s="114"/>
      <c r="S69" s="114"/>
      <c r="T69" s="114">
        <f>2%*(T60+T61+T66)-117</f>
        <v>86161.712046337998</v>
      </c>
      <c r="U69" s="108">
        <f>SUM(E69+H69+K69+N69+Q69+T69)</f>
        <v>518999.70488286874</v>
      </c>
    </row>
    <row r="70" spans="1:22" s="50" customFormat="1" ht="14.25">
      <c r="A70" s="99"/>
      <c r="B70" s="576" t="s">
        <v>420</v>
      </c>
      <c r="C70" s="115"/>
      <c r="D70" s="115"/>
      <c r="E70" s="115">
        <f>E9+E30+E33+E46+E54+E61+E66+E69+E67</f>
        <v>4934733.4362014709</v>
      </c>
      <c r="F70" s="115"/>
      <c r="G70" s="115"/>
      <c r="H70" s="115">
        <f t="shared" ref="H70:Q70" si="6">H9+H30+H33+H46+H54+H61+H66+H69+H67</f>
        <v>4705690.5371800615</v>
      </c>
      <c r="I70" s="115"/>
      <c r="J70" s="115"/>
      <c r="K70" s="115">
        <f t="shared" si="6"/>
        <v>4968898.7637796309</v>
      </c>
      <c r="L70" s="115"/>
      <c r="M70" s="115"/>
      <c r="N70" s="115">
        <f t="shared" si="6"/>
        <v>4956116.7200138941</v>
      </c>
      <c r="O70" s="115"/>
      <c r="P70" s="115"/>
      <c r="Q70" s="115">
        <f t="shared" si="6"/>
        <v>5121476.1389374239</v>
      </c>
      <c r="R70" s="115"/>
      <c r="S70" s="115"/>
      <c r="T70" s="115">
        <f>T9+T30+T33+T46+T54+T61+T66+T69+T67+T68</f>
        <v>5666084.3143632384</v>
      </c>
      <c r="U70" s="115">
        <f>U9+U30+U33+U46+U54+U61+U66+U69+U67+U68</f>
        <v>30352999.91047572</v>
      </c>
    </row>
    <row r="71" spans="1:22">
      <c r="E71" s="241"/>
      <c r="F71" s="241"/>
      <c r="G71" s="241"/>
      <c r="H71" s="241"/>
      <c r="I71" s="241"/>
      <c r="J71" s="241"/>
      <c r="K71" s="241"/>
      <c r="L71" s="241"/>
      <c r="M71" s="241"/>
      <c r="N71" s="241"/>
      <c r="O71" s="241"/>
      <c r="P71" s="241"/>
      <c r="Q71" s="241"/>
      <c r="R71" s="241"/>
      <c r="S71" s="241"/>
      <c r="T71" s="241"/>
      <c r="U71" s="284"/>
    </row>
    <row r="73" spans="1:22" ht="19.5" customHeight="1">
      <c r="E73" s="684"/>
      <c r="F73" s="684"/>
      <c r="G73" s="684"/>
      <c r="H73" s="684"/>
      <c r="I73" s="684"/>
      <c r="J73" s="684"/>
      <c r="K73" s="684"/>
      <c r="L73" s="684"/>
      <c r="M73" s="684"/>
      <c r="N73" s="684"/>
      <c r="O73" s="684"/>
      <c r="P73" s="684"/>
      <c r="Q73" s="684"/>
      <c r="V73" s="242"/>
    </row>
    <row r="74" spans="1:22" ht="14.25" hidden="1" customHeight="1">
      <c r="U74" s="89"/>
      <c r="V74" s="69"/>
    </row>
    <row r="75" spans="1:22" ht="15" hidden="1" customHeight="1">
      <c r="E75" s="241"/>
      <c r="F75" s="241"/>
      <c r="G75" s="241"/>
      <c r="H75" s="241"/>
      <c r="I75" s="241"/>
      <c r="J75" s="241"/>
      <c r="K75" s="241"/>
      <c r="L75" s="241"/>
      <c r="M75" s="241"/>
      <c r="N75" s="241"/>
      <c r="O75" s="241"/>
      <c r="P75" s="241"/>
      <c r="Q75" s="241"/>
      <c r="R75" s="241"/>
      <c r="S75" s="241"/>
      <c r="T75" s="241"/>
      <c r="V75" s="69"/>
    </row>
    <row r="76" spans="1:22" ht="15" hidden="1" customHeight="1">
      <c r="O76" s="69"/>
      <c r="P76" s="69"/>
      <c r="Q76" s="69"/>
      <c r="R76" s="69"/>
      <c r="S76" s="69"/>
      <c r="T76" s="69"/>
      <c r="U76" s="89"/>
      <c r="V76" s="69"/>
    </row>
    <row r="77" spans="1:22" ht="15" hidden="1" customHeight="1">
      <c r="N77" s="69"/>
      <c r="O77" s="69"/>
      <c r="P77" s="69"/>
      <c r="Q77" s="69"/>
      <c r="R77" s="69"/>
      <c r="S77" s="69"/>
      <c r="T77" s="69"/>
      <c r="U77" s="69"/>
    </row>
    <row r="78" spans="1:22" ht="15" hidden="1" customHeight="1">
      <c r="N78" s="69"/>
      <c r="O78" s="69"/>
      <c r="P78" s="69"/>
      <c r="Q78" s="69"/>
      <c r="R78" s="69"/>
      <c r="S78" s="69"/>
      <c r="T78" s="69"/>
      <c r="U78" s="69"/>
    </row>
    <row r="79" spans="1:22" ht="0.75" hidden="1" customHeight="1">
      <c r="N79" s="69"/>
      <c r="O79" s="69"/>
      <c r="P79" s="69"/>
      <c r="Q79" s="69"/>
      <c r="R79" s="69"/>
      <c r="S79" s="69"/>
      <c r="T79" s="69"/>
      <c r="U79" s="69"/>
    </row>
    <row r="80" spans="1:22" ht="33.75" customHeight="1">
      <c r="N80" s="69"/>
      <c r="O80" s="69"/>
      <c r="P80" s="69"/>
      <c r="Q80" s="69"/>
      <c r="R80" s="69"/>
      <c r="S80" s="69"/>
      <c r="T80" s="69"/>
      <c r="U80" s="69"/>
    </row>
    <row r="81" spans="1:21" ht="31.5" customHeight="1">
      <c r="N81" s="69"/>
      <c r="O81" s="69"/>
      <c r="P81" s="69"/>
      <c r="Q81" s="69"/>
      <c r="R81" s="69"/>
      <c r="S81" s="69"/>
      <c r="T81" s="69"/>
      <c r="U81" s="69"/>
    </row>
    <row r="82" spans="1:21" ht="21" customHeight="1">
      <c r="N82" s="69"/>
      <c r="O82" s="69"/>
      <c r="P82" s="69"/>
      <c r="Q82" s="69"/>
      <c r="R82" s="69"/>
      <c r="S82" s="69"/>
      <c r="T82" s="69"/>
      <c r="U82" s="69"/>
    </row>
    <row r="83" spans="1:21" s="81" customFormat="1" ht="13.5">
      <c r="B83" s="82"/>
      <c r="N83" s="83"/>
      <c r="O83" s="83"/>
      <c r="P83" s="83"/>
      <c r="Q83" s="83"/>
      <c r="R83" s="83"/>
      <c r="S83" s="83"/>
      <c r="T83" s="83"/>
      <c r="U83" s="83"/>
    </row>
    <row r="84" spans="1:21" s="83" customFormat="1" ht="16.5" customHeight="1">
      <c r="B84" s="87"/>
    </row>
    <row r="85" spans="1:21" s="83" customFormat="1" ht="15" customHeight="1">
      <c r="B85" s="87"/>
    </row>
    <row r="86" spans="1:21" s="74" customFormat="1" ht="15">
      <c r="A86" s="85"/>
      <c r="O86" s="86"/>
      <c r="P86" s="86"/>
      <c r="R86" s="86"/>
      <c r="S86" s="86"/>
      <c r="U86" s="83"/>
    </row>
    <row r="87" spans="1:21" s="75" customFormat="1" ht="15">
      <c r="A87" s="84"/>
      <c r="N87" s="577"/>
      <c r="O87" s="577"/>
      <c r="P87" s="577"/>
      <c r="Q87" s="577"/>
      <c r="R87" s="577"/>
      <c r="S87" s="577"/>
      <c r="T87" s="577"/>
      <c r="U87" s="577"/>
    </row>
    <row r="88" spans="1:21" s="75" customFormat="1" ht="15">
      <c r="A88" s="84"/>
      <c r="N88" s="577"/>
      <c r="O88" s="577"/>
      <c r="P88" s="577"/>
      <c r="Q88" s="577"/>
      <c r="R88" s="577"/>
      <c r="S88" s="577"/>
      <c r="T88" s="577"/>
      <c r="U88" s="577"/>
    </row>
    <row r="89" spans="1:21" s="75" customFormat="1" ht="15">
      <c r="A89" s="84"/>
      <c r="N89" s="577"/>
      <c r="O89" s="577"/>
      <c r="P89" s="577"/>
      <c r="Q89" s="577"/>
      <c r="R89" s="577"/>
      <c r="S89" s="577"/>
      <c r="T89" s="577"/>
      <c r="U89" s="577"/>
    </row>
    <row r="90" spans="1:21" s="75" customFormat="1" ht="15">
      <c r="A90" s="84"/>
      <c r="N90" s="577"/>
      <c r="O90" s="577"/>
      <c r="P90" s="577"/>
      <c r="Q90" s="577"/>
      <c r="R90" s="577"/>
      <c r="S90" s="577"/>
      <c r="T90" s="577"/>
      <c r="U90" s="577"/>
    </row>
    <row r="91" spans="1:21" ht="15">
      <c r="N91" s="69"/>
      <c r="O91" s="69"/>
      <c r="P91" s="69"/>
      <c r="Q91" s="69"/>
      <c r="R91" s="69"/>
      <c r="S91" s="69"/>
      <c r="T91" s="69"/>
      <c r="U91" s="69"/>
    </row>
    <row r="92" spans="1:21" ht="15">
      <c r="N92" s="69"/>
      <c r="O92" s="69"/>
      <c r="P92" s="69"/>
      <c r="Q92" s="69"/>
      <c r="R92" s="69"/>
      <c r="S92" s="69"/>
      <c r="T92" s="69"/>
      <c r="U92" s="69"/>
    </row>
    <row r="93" spans="1:21" ht="15">
      <c r="N93" s="69"/>
      <c r="O93" s="69"/>
      <c r="P93" s="69"/>
      <c r="Q93" s="69"/>
      <c r="R93" s="69"/>
      <c r="S93" s="69"/>
      <c r="T93" s="69"/>
      <c r="U93" s="69"/>
    </row>
    <row r="94" spans="1:21" ht="15">
      <c r="N94" s="69"/>
      <c r="O94" s="69"/>
      <c r="P94" s="69"/>
      <c r="Q94" s="69"/>
      <c r="R94" s="69"/>
      <c r="S94" s="69"/>
      <c r="T94" s="69"/>
      <c r="U94" s="69"/>
    </row>
    <row r="95" spans="1:21" ht="15">
      <c r="N95" s="69"/>
      <c r="O95" s="69"/>
      <c r="P95" s="69"/>
      <c r="Q95" s="69"/>
      <c r="R95" s="69"/>
      <c r="S95" s="69"/>
      <c r="T95" s="69"/>
      <c r="U95" s="69"/>
    </row>
    <row r="96" spans="1:21" ht="15">
      <c r="N96" s="69"/>
      <c r="O96" s="69"/>
      <c r="P96" s="69"/>
      <c r="Q96" s="69"/>
      <c r="R96" s="69"/>
      <c r="S96" s="69"/>
      <c r="T96" s="69"/>
      <c r="U96" s="69"/>
    </row>
    <row r="97" spans="14:21" ht="15">
      <c r="N97" s="69"/>
      <c r="O97" s="69"/>
      <c r="P97" s="69"/>
      <c r="Q97" s="69"/>
      <c r="R97" s="69"/>
      <c r="S97" s="69"/>
      <c r="T97" s="69"/>
      <c r="U97" s="69"/>
    </row>
    <row r="98" spans="14:21" ht="15">
      <c r="N98" s="69"/>
      <c r="O98" s="69"/>
      <c r="P98" s="69"/>
      <c r="Q98" s="69"/>
      <c r="R98" s="69"/>
      <c r="S98" s="69"/>
      <c r="T98" s="69"/>
      <c r="U98" s="69"/>
    </row>
    <row r="99" spans="14:21" ht="15">
      <c r="N99" s="69"/>
      <c r="O99" s="69"/>
      <c r="P99" s="69"/>
      <c r="Q99" s="69"/>
      <c r="R99" s="69"/>
      <c r="S99" s="69"/>
      <c r="T99" s="69"/>
      <c r="U99" s="69"/>
    </row>
    <row r="100" spans="14:21" ht="15">
      <c r="N100" s="69"/>
      <c r="O100" s="69"/>
      <c r="P100" s="69"/>
      <c r="Q100" s="69"/>
      <c r="R100" s="69"/>
      <c r="S100" s="69"/>
      <c r="T100" s="69"/>
      <c r="U100" s="69"/>
    </row>
    <row r="101" spans="14:21" ht="15">
      <c r="N101" s="69"/>
      <c r="O101" s="69"/>
      <c r="P101" s="69"/>
      <c r="Q101" s="69"/>
      <c r="R101" s="69"/>
      <c r="S101" s="69"/>
      <c r="T101" s="69"/>
      <c r="U101" s="69"/>
    </row>
    <row r="102" spans="14:21" ht="15">
      <c r="N102" s="69"/>
      <c r="O102" s="69"/>
      <c r="P102" s="69"/>
      <c r="Q102" s="69"/>
      <c r="R102" s="69"/>
      <c r="S102" s="69"/>
      <c r="T102" s="69"/>
      <c r="U102" s="69"/>
    </row>
    <row r="103" spans="14:21" ht="15">
      <c r="N103" s="69"/>
      <c r="O103" s="69"/>
      <c r="P103" s="69"/>
      <c r="Q103" s="69"/>
      <c r="R103" s="69"/>
      <c r="S103" s="69"/>
      <c r="T103" s="69"/>
      <c r="U103" s="69"/>
    </row>
    <row r="104" spans="14:21" ht="15">
      <c r="N104" s="69"/>
      <c r="O104" s="69"/>
      <c r="P104" s="69"/>
      <c r="Q104" s="69"/>
      <c r="R104" s="69"/>
      <c r="S104" s="69"/>
      <c r="T104" s="69"/>
      <c r="U104" s="69"/>
    </row>
    <row r="105" spans="14:21" ht="15">
      <c r="N105" s="69"/>
      <c r="O105" s="69"/>
      <c r="P105" s="69"/>
      <c r="Q105" s="69"/>
      <c r="R105" s="69"/>
      <c r="S105" s="69"/>
      <c r="T105" s="69"/>
      <c r="U105" s="69"/>
    </row>
    <row r="106" spans="14:21" ht="15">
      <c r="N106" s="69"/>
      <c r="O106" s="69"/>
      <c r="P106" s="69"/>
      <c r="Q106" s="69"/>
      <c r="R106" s="69"/>
      <c r="S106" s="69"/>
      <c r="T106" s="69"/>
      <c r="U106" s="69"/>
    </row>
    <row r="107" spans="14:21" ht="15">
      <c r="N107" s="69"/>
      <c r="O107" s="69"/>
      <c r="P107" s="69"/>
      <c r="Q107" s="69"/>
      <c r="R107" s="69"/>
      <c r="S107" s="69"/>
      <c r="T107" s="69"/>
      <c r="U107" s="69"/>
    </row>
    <row r="108" spans="14:21" ht="15">
      <c r="N108" s="69"/>
      <c r="O108" s="69"/>
      <c r="P108" s="69"/>
      <c r="Q108" s="69"/>
      <c r="R108" s="69"/>
      <c r="S108" s="69"/>
      <c r="T108" s="69"/>
      <c r="U108" s="69"/>
    </row>
    <row r="109" spans="14:21" ht="15">
      <c r="N109" s="69"/>
      <c r="O109" s="69"/>
      <c r="P109" s="69"/>
      <c r="Q109" s="69"/>
      <c r="R109" s="69"/>
      <c r="S109" s="69"/>
      <c r="T109" s="69"/>
      <c r="U109" s="69"/>
    </row>
    <row r="110" spans="14:21" ht="15">
      <c r="N110" s="69"/>
      <c r="O110" s="69"/>
      <c r="P110" s="69"/>
      <c r="Q110" s="69"/>
      <c r="R110" s="69"/>
      <c r="S110" s="69"/>
      <c r="T110" s="69"/>
      <c r="U110" s="69"/>
    </row>
    <row r="111" spans="14:21" ht="15">
      <c r="N111" s="69"/>
      <c r="O111" s="69"/>
      <c r="P111" s="69"/>
      <c r="Q111" s="69"/>
      <c r="R111" s="69"/>
      <c r="S111" s="69"/>
      <c r="T111" s="69"/>
      <c r="U111" s="69"/>
    </row>
    <row r="112" spans="14:21" ht="15">
      <c r="N112" s="69"/>
      <c r="O112" s="69"/>
      <c r="P112" s="69"/>
      <c r="Q112" s="69"/>
      <c r="R112" s="69"/>
      <c r="S112" s="69"/>
      <c r="T112" s="69"/>
      <c r="U112" s="69"/>
    </row>
    <row r="113" spans="1:21" ht="15">
      <c r="N113" s="69"/>
      <c r="O113" s="69"/>
      <c r="P113" s="69"/>
      <c r="Q113" s="69"/>
      <c r="R113" s="69"/>
      <c r="S113" s="69"/>
      <c r="T113" s="69"/>
      <c r="U113" s="69"/>
    </row>
    <row r="114" spans="1:21" ht="15">
      <c r="N114" s="69"/>
      <c r="O114" s="69"/>
      <c r="P114" s="69"/>
      <c r="Q114" s="69"/>
      <c r="R114" s="69"/>
      <c r="S114" s="69"/>
      <c r="T114" s="69"/>
      <c r="U114" s="69"/>
    </row>
    <row r="115" spans="1:21" ht="15">
      <c r="N115" s="69"/>
      <c r="O115" s="69"/>
      <c r="P115" s="69"/>
      <c r="Q115" s="69"/>
      <c r="R115" s="69"/>
      <c r="S115" s="69"/>
      <c r="T115" s="69"/>
      <c r="U115" s="69"/>
    </row>
    <row r="116" spans="1:21" ht="15">
      <c r="N116" s="69"/>
      <c r="O116" s="69"/>
      <c r="P116" s="69"/>
      <c r="Q116" s="69"/>
      <c r="R116" s="69"/>
      <c r="S116" s="69"/>
      <c r="T116" s="69"/>
      <c r="U116" s="69"/>
    </row>
    <row r="117" spans="1:21" ht="15">
      <c r="N117" s="69"/>
      <c r="O117" s="69"/>
      <c r="P117" s="69"/>
      <c r="Q117" s="69"/>
      <c r="R117" s="69"/>
      <c r="S117" s="69"/>
      <c r="T117" s="69"/>
      <c r="U117" s="69"/>
    </row>
    <row r="118" spans="1:21" ht="15">
      <c r="N118" s="69"/>
      <c r="O118" s="69"/>
      <c r="P118" s="69"/>
      <c r="Q118" s="69"/>
      <c r="R118" s="69"/>
      <c r="S118" s="69"/>
      <c r="T118" s="69"/>
      <c r="U118" s="69"/>
    </row>
    <row r="119" spans="1:21" ht="15">
      <c r="N119" s="69"/>
      <c r="O119" s="69"/>
      <c r="P119" s="69"/>
      <c r="Q119" s="69"/>
      <c r="R119" s="69"/>
      <c r="S119" s="69"/>
      <c r="T119" s="69"/>
      <c r="U119" s="69"/>
    </row>
    <row r="120" spans="1:21" s="50" customFormat="1">
      <c r="A120" s="70"/>
      <c r="B120" s="74"/>
    </row>
    <row r="121" spans="1:21">
      <c r="B121" s="75"/>
    </row>
  </sheetData>
  <mergeCells count="12">
    <mergeCell ref="I6:K6"/>
    <mergeCell ref="L6:N6"/>
    <mergeCell ref="O6:Q6"/>
    <mergeCell ref="R6:T6"/>
    <mergeCell ref="A4:U4"/>
    <mergeCell ref="D5:E5"/>
    <mergeCell ref="Q5:U5"/>
    <mergeCell ref="A6:A7"/>
    <mergeCell ref="B6:B7"/>
    <mergeCell ref="C6:E6"/>
    <mergeCell ref="F6:H6"/>
    <mergeCell ref="U6:U7"/>
  </mergeCells>
  <phoneticPr fontId="96" type="noConversion"/>
  <pageMargins left="0.45" right="0.25" top="0.25" bottom="0.25" header="0.5" footer="0.5"/>
  <pageSetup paperSize="9" scale="80" orientation="landscape" verticalDpi="0" r:id="rId1"/>
  <headerFooter alignWithMargins="0"/>
  <legacyDrawing r:id="rId2"/>
</worksheet>
</file>

<file path=xl/worksheets/sheet17.xml><?xml version="1.0" encoding="utf-8"?>
<worksheet xmlns="http://schemas.openxmlformats.org/spreadsheetml/2006/main" xmlns:r="http://schemas.openxmlformats.org/officeDocument/2006/relationships">
  <sheetPr>
    <tabColor rgb="FFFF0000"/>
  </sheetPr>
  <dimension ref="A1:V334"/>
  <sheetViews>
    <sheetView topLeftCell="A312" zoomScale="130" zoomScaleNormal="130" workbookViewId="0">
      <selection activeCell="B319" sqref="B319:B322"/>
    </sheetView>
  </sheetViews>
  <sheetFormatPr defaultRowHeight="15.75"/>
  <cols>
    <col min="1" max="1" width="5.625" style="134" customWidth="1"/>
    <col min="2" max="2" width="46.875" style="132" customWidth="1"/>
    <col min="3" max="3" width="10" style="122" customWidth="1"/>
    <col min="4" max="4" width="9.375" style="122" customWidth="1"/>
    <col min="5" max="5" width="8.875" style="122" customWidth="1"/>
    <col min="6" max="6" width="8.625" style="122" customWidth="1"/>
    <col min="7" max="7" width="4.875" style="122" hidden="1" customWidth="1"/>
    <col min="8" max="8" width="5" style="122" hidden="1" customWidth="1"/>
    <col min="9" max="9" width="6.25" style="122" customWidth="1"/>
    <col min="10" max="10" width="9.625" style="122" customWidth="1"/>
    <col min="11" max="11" width="8.75" style="122" customWidth="1"/>
    <col min="12" max="12" width="9.25" style="122" customWidth="1"/>
    <col min="13" max="13" width="10.25" style="122" customWidth="1"/>
    <col min="14" max="14" width="8.5" style="122" customWidth="1"/>
    <col min="15" max="15" width="8.625" style="122" customWidth="1"/>
    <col min="16" max="16" width="9.5" style="122" customWidth="1"/>
    <col min="17" max="17" width="7.625" style="122" customWidth="1"/>
    <col min="18" max="18" width="8.375" style="122" customWidth="1"/>
    <col min="19" max="21" width="7.875" style="122" customWidth="1"/>
    <col min="22" max="22" width="8.5" style="122" customWidth="1"/>
    <col min="23" max="23" width="41.5" style="132" customWidth="1"/>
    <col min="24" max="26" width="9" style="132"/>
    <col min="27" max="27" width="9.875" style="132" bestFit="1" customWidth="1"/>
    <col min="28" max="16384" width="9" style="132"/>
  </cols>
  <sheetData>
    <row r="1" spans="1:22">
      <c r="A1" s="1126" t="s">
        <v>1215</v>
      </c>
      <c r="B1" s="1126"/>
      <c r="C1" s="1125" t="s">
        <v>834</v>
      </c>
      <c r="D1" s="1125"/>
      <c r="E1" s="1125"/>
      <c r="F1" s="1125"/>
      <c r="G1" s="1125"/>
      <c r="H1" s="1125"/>
      <c r="I1" s="1125"/>
      <c r="J1" s="1125"/>
      <c r="K1" s="1125"/>
      <c r="L1" s="1125"/>
      <c r="M1" s="1125"/>
      <c r="N1" s="1125"/>
      <c r="O1" s="1125"/>
      <c r="P1" s="1125"/>
      <c r="Q1" s="1125"/>
      <c r="R1" s="1125"/>
      <c r="S1" s="440"/>
      <c r="T1" s="440"/>
      <c r="U1" s="750"/>
      <c r="V1" s="133"/>
    </row>
    <row r="2" spans="1:22">
      <c r="A2" s="1126" t="s">
        <v>1216</v>
      </c>
      <c r="B2" s="1126"/>
      <c r="C2" s="1125" t="s">
        <v>1591</v>
      </c>
      <c r="D2" s="1125"/>
      <c r="E2" s="1125"/>
      <c r="F2" s="1125"/>
      <c r="G2" s="1125"/>
      <c r="H2" s="1125"/>
      <c r="I2" s="1125"/>
      <c r="J2" s="1125"/>
      <c r="K2" s="1125"/>
      <c r="L2" s="1125"/>
      <c r="M2" s="1125"/>
      <c r="N2" s="1125"/>
      <c r="O2" s="1125"/>
      <c r="P2" s="1125"/>
      <c r="Q2" s="1125"/>
      <c r="R2" s="1125"/>
      <c r="S2" s="440"/>
      <c r="T2" s="440"/>
      <c r="U2" s="750"/>
    </row>
    <row r="3" spans="1:22">
      <c r="Q3" s="1127" t="s">
        <v>1198</v>
      </c>
      <c r="R3" s="1127"/>
      <c r="S3" s="1127"/>
      <c r="T3" s="1127"/>
      <c r="U3" s="1127"/>
      <c r="V3" s="1127"/>
    </row>
    <row r="4" spans="1:22">
      <c r="A4" s="1140" t="s">
        <v>76</v>
      </c>
      <c r="B4" s="1141" t="s">
        <v>421</v>
      </c>
      <c r="C4" s="1109" t="s">
        <v>1147</v>
      </c>
      <c r="D4" s="1110"/>
      <c r="E4" s="1110"/>
      <c r="F4" s="1110"/>
      <c r="G4" s="1110"/>
      <c r="H4" s="1110"/>
      <c r="I4" s="1110"/>
      <c r="J4" s="1110"/>
      <c r="K4" s="1110"/>
      <c r="L4" s="1110"/>
      <c r="M4" s="1110"/>
      <c r="N4" s="1110"/>
      <c r="O4" s="1110"/>
      <c r="P4" s="1110"/>
      <c r="Q4" s="1110"/>
      <c r="R4" s="1110"/>
      <c r="S4" s="1110"/>
      <c r="T4" s="1110"/>
      <c r="U4" s="1110"/>
      <c r="V4" s="1134"/>
    </row>
    <row r="5" spans="1:22">
      <c r="A5" s="1140"/>
      <c r="B5" s="1141"/>
      <c r="C5" s="1142" t="s">
        <v>264</v>
      </c>
      <c r="D5" s="1142" t="s">
        <v>216</v>
      </c>
      <c r="E5" s="1142"/>
      <c r="F5" s="1142"/>
      <c r="G5" s="1142"/>
      <c r="H5" s="1142"/>
      <c r="I5" s="1142"/>
      <c r="J5" s="1143" t="s">
        <v>306</v>
      </c>
      <c r="K5" s="1142" t="s">
        <v>229</v>
      </c>
      <c r="L5" s="1142"/>
      <c r="M5" s="1142"/>
      <c r="N5" s="1142"/>
      <c r="O5" s="1142"/>
      <c r="P5" s="1142"/>
      <c r="Q5" s="1142"/>
      <c r="R5" s="1142"/>
      <c r="S5" s="1142"/>
      <c r="T5" s="1142"/>
      <c r="U5" s="1142"/>
      <c r="V5" s="1142"/>
    </row>
    <row r="6" spans="1:22">
      <c r="A6" s="1140"/>
      <c r="B6" s="1141"/>
      <c r="C6" s="1142"/>
      <c r="D6" s="1143" t="s">
        <v>306</v>
      </c>
      <c r="E6" s="1144" t="s">
        <v>383</v>
      </c>
      <c r="F6" s="1145"/>
      <c r="G6" s="1145"/>
      <c r="H6" s="1145"/>
      <c r="I6" s="1146"/>
      <c r="J6" s="1143"/>
      <c r="K6" s="1143" t="s">
        <v>230</v>
      </c>
      <c r="L6" s="1143" t="s">
        <v>587</v>
      </c>
      <c r="M6" s="1143" t="s">
        <v>231</v>
      </c>
      <c r="N6" s="1143" t="s">
        <v>1214</v>
      </c>
      <c r="O6" s="1143" t="s">
        <v>232</v>
      </c>
      <c r="P6" s="1143" t="s">
        <v>593</v>
      </c>
      <c r="Q6" s="1143" t="s">
        <v>557</v>
      </c>
      <c r="R6" s="1123" t="s">
        <v>219</v>
      </c>
      <c r="S6" s="1123" t="s">
        <v>591</v>
      </c>
      <c r="T6" s="1123" t="s">
        <v>647</v>
      </c>
      <c r="U6" s="751"/>
      <c r="V6" s="1123" t="s">
        <v>233</v>
      </c>
    </row>
    <row r="7" spans="1:22" ht="51">
      <c r="A7" s="1140"/>
      <c r="B7" s="1141"/>
      <c r="C7" s="1142"/>
      <c r="D7" s="1143"/>
      <c r="E7" s="442" t="s">
        <v>306</v>
      </c>
      <c r="F7" s="442" t="s">
        <v>384</v>
      </c>
      <c r="G7" s="442" t="s">
        <v>559</v>
      </c>
      <c r="H7" s="442" t="s">
        <v>560</v>
      </c>
      <c r="I7" s="442" t="s">
        <v>385</v>
      </c>
      <c r="J7" s="1143"/>
      <c r="K7" s="1143"/>
      <c r="L7" s="1143"/>
      <c r="M7" s="1143"/>
      <c r="N7" s="1143"/>
      <c r="O7" s="1143"/>
      <c r="P7" s="1143"/>
      <c r="Q7" s="1143"/>
      <c r="R7" s="1124"/>
      <c r="S7" s="1124"/>
      <c r="T7" s="1124"/>
      <c r="U7" s="752"/>
      <c r="V7" s="1124"/>
    </row>
    <row r="8" spans="1:22">
      <c r="A8" s="135" t="s">
        <v>84</v>
      </c>
      <c r="B8" s="136" t="s">
        <v>94</v>
      </c>
      <c r="C8" s="72">
        <f>SUM(C9:C22)</f>
        <v>24098009.008800004</v>
      </c>
      <c r="D8" s="72">
        <f t="shared" ref="D8:I8" si="0">SUM(D9:D17)</f>
        <v>0</v>
      </c>
      <c r="E8" s="72">
        <f t="shared" si="0"/>
        <v>0</v>
      </c>
      <c r="F8" s="72">
        <f t="shared" si="0"/>
        <v>0</v>
      </c>
      <c r="G8" s="72">
        <f t="shared" si="0"/>
        <v>0</v>
      </c>
      <c r="H8" s="72">
        <f t="shared" si="0"/>
        <v>0</v>
      </c>
      <c r="I8" s="72">
        <f t="shared" si="0"/>
        <v>0</v>
      </c>
      <c r="J8" s="244">
        <f>SUM(J9:J22)</f>
        <v>24098009.008800004</v>
      </c>
      <c r="K8" s="72">
        <f>SUM(K9:K22)</f>
        <v>24098009.008800004</v>
      </c>
      <c r="L8" s="72"/>
      <c r="M8" s="72">
        <f t="shared" ref="M8:R8" si="1">SUM(M9:M17)</f>
        <v>0</v>
      </c>
      <c r="N8" s="72">
        <f t="shared" si="1"/>
        <v>0</v>
      </c>
      <c r="O8" s="72">
        <f t="shared" si="1"/>
        <v>0</v>
      </c>
      <c r="P8" s="72">
        <f t="shared" si="1"/>
        <v>0</v>
      </c>
      <c r="Q8" s="72">
        <f t="shared" si="1"/>
        <v>0</v>
      </c>
      <c r="R8" s="72">
        <f t="shared" si="1"/>
        <v>0</v>
      </c>
      <c r="S8" s="72"/>
      <c r="T8" s="72"/>
      <c r="U8" s="72"/>
      <c r="V8" s="72">
        <f>SUM(V9:V17)</f>
        <v>0</v>
      </c>
    </row>
    <row r="9" spans="1:22">
      <c r="A9" s="91">
        <v>1</v>
      </c>
      <c r="B9" s="137" t="s">
        <v>1188</v>
      </c>
      <c r="C9" s="73">
        <f t="shared" ref="C9:C22" si="2">D9+J9</f>
        <v>16100000</v>
      </c>
      <c r="D9" s="73">
        <f t="shared" ref="D9:I9" si="3">SUM(D10:D73)</f>
        <v>0</v>
      </c>
      <c r="E9" s="73">
        <f t="shared" si="3"/>
        <v>0</v>
      </c>
      <c r="F9" s="73">
        <f t="shared" si="3"/>
        <v>0</v>
      </c>
      <c r="G9" s="73">
        <f t="shared" si="3"/>
        <v>0</v>
      </c>
      <c r="H9" s="73">
        <f t="shared" si="3"/>
        <v>0</v>
      </c>
      <c r="I9" s="73">
        <f t="shared" si="3"/>
        <v>0</v>
      </c>
      <c r="J9" s="73">
        <f t="shared" ref="J9:J10" si="4">SUM(K9:V9)</f>
        <v>16100000</v>
      </c>
      <c r="K9" s="138">
        <f>'DTĐV 2019'!N389</f>
        <v>16100000</v>
      </c>
      <c r="L9" s="138"/>
      <c r="M9" s="138"/>
      <c r="N9" s="138"/>
      <c r="O9" s="138"/>
      <c r="P9" s="138"/>
      <c r="Q9" s="138"/>
      <c r="R9" s="138"/>
      <c r="S9" s="138"/>
      <c r="T9" s="138"/>
      <c r="U9" s="138"/>
      <c r="V9" s="138"/>
    </row>
    <row r="10" spans="1:22">
      <c r="A10" s="91">
        <v>2</v>
      </c>
      <c r="B10" s="137" t="s">
        <v>148</v>
      </c>
      <c r="C10" s="73">
        <f t="shared" si="2"/>
        <v>0</v>
      </c>
      <c r="D10" s="73">
        <f>E10</f>
        <v>0</v>
      </c>
      <c r="E10" s="73">
        <f>F10+G10</f>
        <v>0</v>
      </c>
      <c r="F10" s="73"/>
      <c r="G10" s="73"/>
      <c r="H10" s="73"/>
      <c r="I10" s="73"/>
      <c r="J10" s="73">
        <f t="shared" si="4"/>
        <v>0</v>
      </c>
      <c r="K10" s="73"/>
      <c r="L10" s="73"/>
      <c r="M10" s="73"/>
      <c r="N10" s="73"/>
      <c r="O10" s="73"/>
      <c r="P10" s="138"/>
      <c r="Q10" s="73"/>
      <c r="R10" s="73"/>
      <c r="S10" s="73"/>
      <c r="T10" s="73"/>
      <c r="U10" s="73"/>
      <c r="V10" s="73"/>
    </row>
    <row r="11" spans="1:22">
      <c r="A11" s="91"/>
      <c r="B11" s="137" t="s">
        <v>586</v>
      </c>
      <c r="C11" s="73">
        <f t="shared" si="2"/>
        <v>140000</v>
      </c>
      <c r="D11" s="73"/>
      <c r="E11" s="73"/>
      <c r="F11" s="73"/>
      <c r="G11" s="73"/>
      <c r="H11" s="73"/>
      <c r="I11" s="73"/>
      <c r="J11" s="73">
        <f>SUM(K11:V11)</f>
        <v>140000</v>
      </c>
      <c r="K11" s="73">
        <f>'DTĐV 2019'!N393+'DTĐV 2019'!N397+'DTĐV 2019'!N401</f>
        <v>140000</v>
      </c>
      <c r="L11" s="73"/>
      <c r="M11" s="73"/>
      <c r="N11" s="73"/>
      <c r="O11" s="73"/>
      <c r="P11" s="138"/>
      <c r="Q11" s="73"/>
      <c r="R11" s="73"/>
      <c r="S11" s="73"/>
      <c r="T11" s="73"/>
      <c r="U11" s="73"/>
      <c r="V11" s="73"/>
    </row>
    <row r="12" spans="1:22">
      <c r="A12" s="91"/>
      <c r="B12" s="137" t="s">
        <v>581</v>
      </c>
      <c r="C12" s="73">
        <f t="shared" si="2"/>
        <v>80000</v>
      </c>
      <c r="D12" s="73"/>
      <c r="E12" s="73"/>
      <c r="F12" s="73"/>
      <c r="G12" s="73"/>
      <c r="H12" s="73"/>
      <c r="I12" s="73"/>
      <c r="J12" s="73">
        <f t="shared" ref="J12:J16" si="5">SUM(K12:V12)</f>
        <v>80000</v>
      </c>
      <c r="K12" s="73">
        <f>'DTĐV 2019'!N405</f>
        <v>80000</v>
      </c>
      <c r="L12" s="73"/>
      <c r="M12" s="73"/>
      <c r="N12" s="73"/>
      <c r="O12" s="73"/>
      <c r="P12" s="138"/>
      <c r="Q12" s="73"/>
      <c r="R12" s="73"/>
      <c r="S12" s="73"/>
      <c r="T12" s="73"/>
      <c r="U12" s="73"/>
      <c r="V12" s="73"/>
    </row>
    <row r="13" spans="1:22">
      <c r="A13" s="91">
        <v>3</v>
      </c>
      <c r="B13" s="137" t="s">
        <v>810</v>
      </c>
      <c r="C13" s="73">
        <f t="shared" si="2"/>
        <v>78000</v>
      </c>
      <c r="D13" s="73"/>
      <c r="E13" s="73"/>
      <c r="F13" s="73"/>
      <c r="G13" s="73"/>
      <c r="H13" s="73"/>
      <c r="I13" s="73"/>
      <c r="J13" s="73">
        <f t="shared" si="5"/>
        <v>78000</v>
      </c>
      <c r="K13" s="138">
        <f>'DTĐV 2019'!N413</f>
        <v>78000</v>
      </c>
      <c r="L13" s="138"/>
      <c r="M13" s="73"/>
      <c r="N13" s="73"/>
      <c r="O13" s="73"/>
      <c r="P13" s="73"/>
      <c r="Q13" s="73"/>
      <c r="R13" s="73"/>
      <c r="S13" s="73"/>
      <c r="T13" s="73"/>
      <c r="U13" s="73"/>
      <c r="V13" s="73"/>
    </row>
    <row r="14" spans="1:22">
      <c r="A14" s="91">
        <v>4</v>
      </c>
      <c r="B14" s="137" t="s">
        <v>671</v>
      </c>
      <c r="C14" s="73">
        <f t="shared" si="2"/>
        <v>372000</v>
      </c>
      <c r="D14" s="73"/>
      <c r="E14" s="73"/>
      <c r="F14" s="73"/>
      <c r="G14" s="73"/>
      <c r="H14" s="73"/>
      <c r="I14" s="73"/>
      <c r="J14" s="73">
        <f t="shared" si="5"/>
        <v>372000</v>
      </c>
      <c r="K14" s="138">
        <f>'DTĐV 2019'!N421</f>
        <v>372000</v>
      </c>
      <c r="L14" s="138"/>
      <c r="M14" s="73"/>
      <c r="N14" s="73"/>
      <c r="O14" s="73"/>
      <c r="P14" s="73"/>
      <c r="Q14" s="73"/>
      <c r="R14" s="73"/>
      <c r="S14" s="73"/>
      <c r="T14" s="73"/>
      <c r="U14" s="73"/>
      <c r="V14" s="73"/>
    </row>
    <row r="15" spans="1:22">
      <c r="A15" s="91">
        <v>5</v>
      </c>
      <c r="B15" s="137" t="s">
        <v>672</v>
      </c>
      <c r="C15" s="73">
        <f t="shared" si="2"/>
        <v>1775990.6162999999</v>
      </c>
      <c r="D15" s="73"/>
      <c r="E15" s="73"/>
      <c r="F15" s="73"/>
      <c r="G15" s="73"/>
      <c r="H15" s="73"/>
      <c r="I15" s="73"/>
      <c r="J15" s="73">
        <f t="shared" si="5"/>
        <v>1775990.6162999999</v>
      </c>
      <c r="K15" s="73">
        <f>'DTĐV 2019'!N436</f>
        <v>1775990.6162999999</v>
      </c>
      <c r="L15" s="73"/>
      <c r="M15" s="73"/>
      <c r="N15" s="73"/>
      <c r="O15" s="73"/>
      <c r="P15" s="138"/>
      <c r="Q15" s="73"/>
      <c r="R15" s="73"/>
      <c r="S15" s="73"/>
      <c r="T15" s="73"/>
      <c r="U15" s="73"/>
      <c r="V15" s="73"/>
    </row>
    <row r="16" spans="1:22">
      <c r="A16" s="91">
        <v>6</v>
      </c>
      <c r="B16" s="137" t="s">
        <v>599</v>
      </c>
      <c r="C16" s="73">
        <f t="shared" si="2"/>
        <v>950933.68650000007</v>
      </c>
      <c r="D16" s="73"/>
      <c r="E16" s="73"/>
      <c r="F16" s="73"/>
      <c r="G16" s="73"/>
      <c r="H16" s="73"/>
      <c r="I16" s="73"/>
      <c r="J16" s="73">
        <f t="shared" si="5"/>
        <v>950933.68650000007</v>
      </c>
      <c r="K16" s="138">
        <f>'DTĐV 2019'!N460</f>
        <v>950933.68650000007</v>
      </c>
      <c r="L16" s="138"/>
      <c r="M16" s="73"/>
      <c r="N16" s="73"/>
      <c r="O16" s="73"/>
      <c r="P16" s="73"/>
      <c r="Q16" s="73"/>
      <c r="R16" s="73"/>
      <c r="S16" s="73"/>
      <c r="T16" s="73"/>
      <c r="U16" s="73"/>
      <c r="V16" s="73"/>
    </row>
    <row r="17" spans="1:22">
      <c r="A17" s="91">
        <v>7</v>
      </c>
      <c r="B17" s="137" t="s">
        <v>218</v>
      </c>
      <c r="C17" s="73">
        <f t="shared" si="2"/>
        <v>459084.70599999995</v>
      </c>
      <c r="D17" s="73"/>
      <c r="E17" s="73"/>
      <c r="F17" s="73"/>
      <c r="G17" s="73"/>
      <c r="H17" s="73"/>
      <c r="I17" s="73"/>
      <c r="J17" s="73">
        <f t="shared" ref="J17:J22" si="6">SUM(K17:V17)</f>
        <v>459084.70599999995</v>
      </c>
      <c r="K17" s="138">
        <f>'DTĐV 2019'!N479</f>
        <v>459084.70599999995</v>
      </c>
      <c r="L17" s="138"/>
      <c r="M17" s="73"/>
      <c r="N17" s="73"/>
      <c r="O17" s="73"/>
      <c r="P17" s="73"/>
      <c r="Q17" s="73"/>
      <c r="R17" s="73"/>
      <c r="S17" s="73"/>
      <c r="T17" s="73"/>
      <c r="U17" s="73"/>
      <c r="V17" s="73"/>
    </row>
    <row r="18" spans="1:22">
      <c r="A18" s="91">
        <v>8</v>
      </c>
      <c r="B18" s="137" t="s">
        <v>213</v>
      </c>
      <c r="C18" s="73">
        <f t="shared" si="2"/>
        <v>300000</v>
      </c>
      <c r="D18" s="73"/>
      <c r="E18" s="73"/>
      <c r="F18" s="73"/>
      <c r="G18" s="73"/>
      <c r="H18" s="73"/>
      <c r="I18" s="73"/>
      <c r="J18" s="73">
        <f t="shared" si="6"/>
        <v>300000</v>
      </c>
      <c r="K18" s="138">
        <f>'DTĐV 2019'!N410</f>
        <v>300000</v>
      </c>
      <c r="L18" s="138"/>
      <c r="M18" s="73"/>
      <c r="N18" s="73"/>
      <c r="O18" s="73"/>
      <c r="P18" s="73"/>
      <c r="Q18" s="73"/>
      <c r="R18" s="73"/>
      <c r="S18" s="73"/>
      <c r="T18" s="73"/>
      <c r="U18" s="73"/>
      <c r="V18" s="73"/>
    </row>
    <row r="19" spans="1:22">
      <c r="A19" s="91">
        <v>9</v>
      </c>
      <c r="B19" s="137" t="s">
        <v>447</v>
      </c>
      <c r="C19" s="73">
        <f t="shared" si="2"/>
        <v>2100000</v>
      </c>
      <c r="D19" s="73"/>
      <c r="E19" s="73"/>
      <c r="F19" s="73"/>
      <c r="G19" s="73"/>
      <c r="H19" s="73"/>
      <c r="I19" s="73"/>
      <c r="J19" s="73">
        <f t="shared" si="6"/>
        <v>2100000</v>
      </c>
      <c r="K19" s="138">
        <f>'DTĐV 2019'!N411</f>
        <v>2100000</v>
      </c>
      <c r="L19" s="138"/>
      <c r="M19" s="73"/>
      <c r="N19" s="73"/>
      <c r="O19" s="73"/>
      <c r="P19" s="73"/>
      <c r="Q19" s="73"/>
      <c r="R19" s="73"/>
      <c r="S19" s="73"/>
      <c r="T19" s="73"/>
      <c r="U19" s="73"/>
      <c r="V19" s="73"/>
    </row>
    <row r="20" spans="1:22">
      <c r="A20" s="91">
        <v>10</v>
      </c>
      <c r="B20" s="137" t="s">
        <v>518</v>
      </c>
      <c r="C20" s="73">
        <f t="shared" si="2"/>
        <v>1632000</v>
      </c>
      <c r="D20" s="73"/>
      <c r="E20" s="73"/>
      <c r="F20" s="73"/>
      <c r="G20" s="73"/>
      <c r="H20" s="73"/>
      <c r="I20" s="73"/>
      <c r="J20" s="73">
        <f t="shared" si="6"/>
        <v>1632000</v>
      </c>
      <c r="K20" s="138">
        <f>'DTĐV 2019'!N412</f>
        <v>1632000</v>
      </c>
      <c r="L20" s="138"/>
      <c r="M20" s="73"/>
      <c r="N20" s="73"/>
      <c r="O20" s="73"/>
      <c r="P20" s="73"/>
      <c r="Q20" s="73"/>
      <c r="R20" s="73"/>
      <c r="S20" s="73"/>
      <c r="T20" s="73"/>
      <c r="U20" s="73"/>
      <c r="V20" s="73"/>
    </row>
    <row r="21" spans="1:22">
      <c r="A21" s="91">
        <v>11</v>
      </c>
      <c r="B21" s="137" t="s">
        <v>677</v>
      </c>
      <c r="C21" s="73">
        <f t="shared" si="2"/>
        <v>60000</v>
      </c>
      <c r="D21" s="73"/>
      <c r="E21" s="73"/>
      <c r="F21" s="73"/>
      <c r="G21" s="73"/>
      <c r="H21" s="73"/>
      <c r="I21" s="73"/>
      <c r="J21" s="73">
        <f t="shared" si="6"/>
        <v>60000</v>
      </c>
      <c r="K21" s="138">
        <f>'DTĐV 2019'!O498</f>
        <v>60000</v>
      </c>
      <c r="L21" s="138"/>
      <c r="M21" s="73"/>
      <c r="N21" s="73"/>
      <c r="O21" s="73"/>
      <c r="P21" s="73"/>
      <c r="Q21" s="73"/>
      <c r="R21" s="73"/>
      <c r="S21" s="73"/>
      <c r="T21" s="73"/>
      <c r="U21" s="73"/>
      <c r="V21" s="73"/>
    </row>
    <row r="22" spans="1:22">
      <c r="A22" s="91">
        <v>12</v>
      </c>
      <c r="B22" s="137" t="s">
        <v>196</v>
      </c>
      <c r="C22" s="73">
        <f t="shared" si="2"/>
        <v>50000</v>
      </c>
      <c r="D22" s="73"/>
      <c r="E22" s="73"/>
      <c r="F22" s="73"/>
      <c r="G22" s="73"/>
      <c r="H22" s="73"/>
      <c r="I22" s="73"/>
      <c r="J22" s="73">
        <f t="shared" si="6"/>
        <v>50000</v>
      </c>
      <c r="K22" s="138">
        <f>'DTĐV 2019'!N497</f>
        <v>50000</v>
      </c>
      <c r="L22" s="138"/>
      <c r="M22" s="73"/>
      <c r="N22" s="73"/>
      <c r="O22" s="73"/>
      <c r="P22" s="73"/>
      <c r="Q22" s="73"/>
      <c r="R22" s="73"/>
      <c r="S22" s="73"/>
      <c r="T22" s="73"/>
      <c r="U22" s="73"/>
      <c r="V22" s="73"/>
    </row>
    <row r="23" spans="1:22">
      <c r="A23" s="135" t="s">
        <v>85</v>
      </c>
      <c r="B23" s="136" t="s">
        <v>579</v>
      </c>
      <c r="C23" s="72">
        <f>C24+C25</f>
        <v>13500000</v>
      </c>
      <c r="D23" s="73"/>
      <c r="E23" s="73"/>
      <c r="F23" s="73"/>
      <c r="G23" s="73"/>
      <c r="H23" s="73"/>
      <c r="I23" s="73"/>
      <c r="J23" s="103">
        <f>J24+J25</f>
        <v>13500000</v>
      </c>
      <c r="K23" s="138"/>
      <c r="L23" s="103">
        <f>L24+L25</f>
        <v>13500000</v>
      </c>
      <c r="M23" s="73"/>
      <c r="N23" s="73"/>
      <c r="O23" s="73"/>
      <c r="P23" s="73"/>
      <c r="Q23" s="73"/>
      <c r="R23" s="73"/>
      <c r="S23" s="73"/>
      <c r="T23" s="73"/>
      <c r="U23" s="73"/>
      <c r="V23" s="73"/>
    </row>
    <row r="24" spans="1:22" ht="31.5">
      <c r="A24" s="344">
        <v>1</v>
      </c>
      <c r="B24" s="574" t="s">
        <v>1015</v>
      </c>
      <c r="C24" s="73">
        <f t="shared" ref="C24" si="7">D24+J24</f>
        <v>12500000</v>
      </c>
      <c r="D24" s="73"/>
      <c r="E24" s="73"/>
      <c r="F24" s="73"/>
      <c r="G24" s="73"/>
      <c r="H24" s="73"/>
      <c r="I24" s="73"/>
      <c r="J24" s="73">
        <f>SUM(K24:V24)</f>
        <v>12500000</v>
      </c>
      <c r="K24" s="138"/>
      <c r="L24" s="138">
        <f>'DTĐV 2019'!N500</f>
        <v>12500000</v>
      </c>
      <c r="M24" s="73"/>
      <c r="N24" s="73"/>
      <c r="O24" s="73"/>
      <c r="P24" s="73"/>
      <c r="Q24" s="73"/>
      <c r="R24" s="73"/>
      <c r="S24" s="73"/>
      <c r="T24" s="73"/>
      <c r="U24" s="73"/>
      <c r="V24" s="73"/>
    </row>
    <row r="25" spans="1:22">
      <c r="A25" s="344">
        <v>2</v>
      </c>
      <c r="B25" s="390" t="s">
        <v>1148</v>
      </c>
      <c r="C25" s="73">
        <f>D25+J25</f>
        <v>1000000</v>
      </c>
      <c r="D25" s="73"/>
      <c r="E25" s="73"/>
      <c r="F25" s="73"/>
      <c r="G25" s="73"/>
      <c r="H25" s="73"/>
      <c r="I25" s="73"/>
      <c r="J25" s="73">
        <f>SUM(K25:V25)</f>
        <v>1000000</v>
      </c>
      <c r="K25" s="138"/>
      <c r="L25" s="138">
        <f>'DTĐV 2019'!N501</f>
        <v>1000000</v>
      </c>
      <c r="M25" s="73"/>
      <c r="N25" s="73"/>
      <c r="O25" s="73"/>
      <c r="P25" s="73"/>
      <c r="Q25" s="73"/>
      <c r="R25" s="73"/>
      <c r="S25" s="73"/>
      <c r="T25" s="73"/>
      <c r="U25" s="73"/>
      <c r="V25" s="73"/>
    </row>
    <row r="26" spans="1:22">
      <c r="A26" s="135" t="s">
        <v>565</v>
      </c>
      <c r="B26" s="136" t="s">
        <v>600</v>
      </c>
      <c r="C26" s="72">
        <f t="shared" ref="C26:K26" si="8">SUM(C27:C28)</f>
        <v>112626099.25720499</v>
      </c>
      <c r="D26" s="72">
        <f t="shared" si="8"/>
        <v>0</v>
      </c>
      <c r="E26" s="72">
        <f t="shared" si="8"/>
        <v>0</v>
      </c>
      <c r="F26" s="72">
        <f t="shared" si="8"/>
        <v>0</v>
      </c>
      <c r="G26" s="72">
        <f t="shared" si="8"/>
        <v>0</v>
      </c>
      <c r="H26" s="72">
        <f t="shared" si="8"/>
        <v>0</v>
      </c>
      <c r="I26" s="72">
        <f t="shared" si="8"/>
        <v>0</v>
      </c>
      <c r="J26" s="266">
        <f t="shared" si="8"/>
        <v>112626099.25720499</v>
      </c>
      <c r="K26" s="72">
        <f t="shared" si="8"/>
        <v>0</v>
      </c>
      <c r="L26" s="72"/>
      <c r="M26" s="72">
        <f t="shared" ref="M26:R26" si="9">SUM(M27:M28)</f>
        <v>112626099.25720499</v>
      </c>
      <c r="N26" s="72">
        <f t="shared" si="9"/>
        <v>0</v>
      </c>
      <c r="O26" s="72">
        <f t="shared" si="9"/>
        <v>0</v>
      </c>
      <c r="P26" s="72">
        <f t="shared" si="9"/>
        <v>0</v>
      </c>
      <c r="Q26" s="72">
        <f t="shared" si="9"/>
        <v>0</v>
      </c>
      <c r="R26" s="72">
        <f t="shared" si="9"/>
        <v>0</v>
      </c>
      <c r="S26" s="72"/>
      <c r="T26" s="72"/>
      <c r="U26" s="72"/>
      <c r="V26" s="72">
        <f>SUM(V27:V28)</f>
        <v>0</v>
      </c>
    </row>
    <row r="27" spans="1:22">
      <c r="A27" s="91">
        <v>1</v>
      </c>
      <c r="B27" s="137" t="s">
        <v>309</v>
      </c>
      <c r="C27" s="73">
        <f>D27+J27</f>
        <v>910099.25720500003</v>
      </c>
      <c r="D27" s="73">
        <f>E27</f>
        <v>0</v>
      </c>
      <c r="E27" s="73">
        <f>F27+G27</f>
        <v>0</v>
      </c>
      <c r="F27" s="73"/>
      <c r="G27" s="73"/>
      <c r="H27" s="73"/>
      <c r="I27" s="73"/>
      <c r="J27" s="267">
        <f>SUM(K27:V27)</f>
        <v>910099.25720500003</v>
      </c>
      <c r="K27" s="73"/>
      <c r="L27" s="73"/>
      <c r="M27" s="73">
        <f>'DTĐV 2019'!N503</f>
        <v>910099.25720500003</v>
      </c>
      <c r="N27" s="73"/>
      <c r="O27" s="73"/>
      <c r="P27" s="138"/>
      <c r="Q27" s="73"/>
      <c r="R27" s="73"/>
      <c r="S27" s="73"/>
      <c r="T27" s="73"/>
      <c r="U27" s="73"/>
      <c r="V27" s="73"/>
    </row>
    <row r="28" spans="1:22">
      <c r="A28" s="91">
        <v>2</v>
      </c>
      <c r="B28" s="137" t="s">
        <v>1149</v>
      </c>
      <c r="C28" s="73">
        <f>D28+J28</f>
        <v>111716000</v>
      </c>
      <c r="D28" s="73"/>
      <c r="E28" s="73"/>
      <c r="F28" s="73"/>
      <c r="G28" s="73"/>
      <c r="H28" s="73"/>
      <c r="I28" s="73"/>
      <c r="J28" s="267">
        <f>SUM(K28:V28)</f>
        <v>111716000</v>
      </c>
      <c r="K28" s="73"/>
      <c r="L28" s="73"/>
      <c r="M28" s="73">
        <f>'DTĐV 2019'!N525</f>
        <v>111716000</v>
      </c>
      <c r="N28" s="73"/>
      <c r="O28" s="73"/>
      <c r="P28" s="73"/>
      <c r="Q28" s="73"/>
      <c r="R28" s="73"/>
      <c r="S28" s="73"/>
      <c r="T28" s="73"/>
      <c r="U28" s="73"/>
      <c r="V28" s="73"/>
    </row>
    <row r="29" spans="1:22">
      <c r="A29" s="135" t="s">
        <v>562</v>
      </c>
      <c r="B29" s="136" t="s">
        <v>1193</v>
      </c>
      <c r="C29" s="72">
        <f>C30</f>
        <v>2940561.9859999996</v>
      </c>
      <c r="D29" s="72">
        <f t="shared" ref="D29:V29" si="10">D30</f>
        <v>0</v>
      </c>
      <c r="E29" s="72">
        <f t="shared" si="10"/>
        <v>0</v>
      </c>
      <c r="F29" s="72">
        <f t="shared" si="10"/>
        <v>0</v>
      </c>
      <c r="G29" s="72">
        <f t="shared" si="10"/>
        <v>0</v>
      </c>
      <c r="H29" s="72">
        <f t="shared" si="10"/>
        <v>0</v>
      </c>
      <c r="I29" s="72">
        <f t="shared" si="10"/>
        <v>0</v>
      </c>
      <c r="J29" s="268">
        <f>J30</f>
        <v>2940561.9859999996</v>
      </c>
      <c r="K29" s="72">
        <f t="shared" si="10"/>
        <v>0</v>
      </c>
      <c r="L29" s="72"/>
      <c r="M29" s="72">
        <f t="shared" si="10"/>
        <v>0</v>
      </c>
      <c r="N29" s="72">
        <f>N30</f>
        <v>2940561.9859999996</v>
      </c>
      <c r="O29" s="72">
        <f t="shared" si="10"/>
        <v>0</v>
      </c>
      <c r="P29" s="72">
        <f t="shared" si="10"/>
        <v>0</v>
      </c>
      <c r="Q29" s="72">
        <f t="shared" si="10"/>
        <v>0</v>
      </c>
      <c r="R29" s="72">
        <f t="shared" si="10"/>
        <v>0</v>
      </c>
      <c r="S29" s="72"/>
      <c r="T29" s="72"/>
      <c r="U29" s="72"/>
      <c r="V29" s="72">
        <f t="shared" si="10"/>
        <v>0</v>
      </c>
    </row>
    <row r="30" spans="1:22">
      <c r="A30" s="91">
        <v>1</v>
      </c>
      <c r="B30" s="137" t="s">
        <v>1194</v>
      </c>
      <c r="C30" s="73">
        <f>D30+J30</f>
        <v>2940561.9859999996</v>
      </c>
      <c r="D30" s="73">
        <f>E30</f>
        <v>0</v>
      </c>
      <c r="E30" s="73">
        <f>F30+G30</f>
        <v>0</v>
      </c>
      <c r="F30" s="73"/>
      <c r="G30" s="73"/>
      <c r="H30" s="73"/>
      <c r="I30" s="73"/>
      <c r="J30" s="269">
        <f>SUM(K30:V30)</f>
        <v>2940561.9859999996</v>
      </c>
      <c r="K30" s="73"/>
      <c r="L30" s="73"/>
      <c r="M30" s="73"/>
      <c r="N30" s="73">
        <f>'DTĐV 2019'!N528</f>
        <v>2940561.9859999996</v>
      </c>
      <c r="O30" s="73"/>
      <c r="P30" s="138"/>
      <c r="Q30" s="73"/>
      <c r="R30" s="73"/>
      <c r="S30" s="73"/>
      <c r="T30" s="73"/>
      <c r="U30" s="73"/>
      <c r="V30" s="73"/>
    </row>
    <row r="31" spans="1:22">
      <c r="A31" s="135" t="s">
        <v>289</v>
      </c>
      <c r="B31" s="136" t="s">
        <v>232</v>
      </c>
      <c r="C31" s="72">
        <f>SUM(C32:C48)</f>
        <v>9014612.4845000021</v>
      </c>
      <c r="D31" s="72">
        <f t="shared" ref="D31:Q31" si="11">SUM(D32:D48)</f>
        <v>0</v>
      </c>
      <c r="E31" s="72">
        <f t="shared" si="11"/>
        <v>0</v>
      </c>
      <c r="F31" s="72">
        <f t="shared" si="11"/>
        <v>0</v>
      </c>
      <c r="G31" s="72">
        <f t="shared" si="11"/>
        <v>0</v>
      </c>
      <c r="H31" s="72">
        <f t="shared" si="11"/>
        <v>0</v>
      </c>
      <c r="I31" s="72">
        <f t="shared" si="11"/>
        <v>0</v>
      </c>
      <c r="J31" s="72">
        <f>SUM(J32:J48)</f>
        <v>9014612.4845000021</v>
      </c>
      <c r="K31" s="72">
        <f t="shared" si="11"/>
        <v>0</v>
      </c>
      <c r="L31" s="72">
        <f t="shared" si="11"/>
        <v>0</v>
      </c>
      <c r="M31" s="72">
        <f t="shared" si="11"/>
        <v>0</v>
      </c>
      <c r="N31" s="72">
        <f t="shared" si="11"/>
        <v>0</v>
      </c>
      <c r="O31" s="72">
        <f>SUM(O32:O48)</f>
        <v>9014612.4845000021</v>
      </c>
      <c r="P31" s="72">
        <f t="shared" si="11"/>
        <v>0</v>
      </c>
      <c r="Q31" s="72">
        <f t="shared" si="11"/>
        <v>0</v>
      </c>
      <c r="R31" s="72">
        <f>SUM(R32:R35)</f>
        <v>0</v>
      </c>
      <c r="S31" s="72"/>
      <c r="T31" s="72"/>
      <c r="U31" s="72"/>
      <c r="V31" s="72">
        <f>SUM(V32:V35)</f>
        <v>0</v>
      </c>
    </row>
    <row r="32" spans="1:22">
      <c r="A32" s="91">
        <v>1</v>
      </c>
      <c r="B32" s="137" t="s">
        <v>601</v>
      </c>
      <c r="C32" s="73">
        <f>D32+J32</f>
        <v>428000</v>
      </c>
      <c r="D32" s="73"/>
      <c r="E32" s="73"/>
      <c r="F32" s="73"/>
      <c r="G32" s="73"/>
      <c r="H32" s="73"/>
      <c r="I32" s="73"/>
      <c r="J32" s="270">
        <f>SUM(K32:V32)</f>
        <v>428000</v>
      </c>
      <c r="K32" s="73"/>
      <c r="L32" s="73"/>
      <c r="M32" s="73"/>
      <c r="N32" s="73"/>
      <c r="O32" s="73">
        <f>'DTĐV 2019'!N658</f>
        <v>428000</v>
      </c>
      <c r="P32" s="138"/>
      <c r="Q32" s="73"/>
      <c r="R32" s="73"/>
      <c r="S32" s="73"/>
      <c r="T32" s="73"/>
      <c r="U32" s="73"/>
      <c r="V32" s="73"/>
    </row>
    <row r="33" spans="1:22">
      <c r="A33" s="91">
        <v>2</v>
      </c>
      <c r="B33" s="137" t="s">
        <v>577</v>
      </c>
      <c r="C33" s="73">
        <f>D33+J33</f>
        <v>906942</v>
      </c>
      <c r="D33" s="73">
        <f>E33</f>
        <v>0</v>
      </c>
      <c r="E33" s="73">
        <f>F33+G33</f>
        <v>0</v>
      </c>
      <c r="F33" s="73"/>
      <c r="G33" s="73"/>
      <c r="H33" s="73"/>
      <c r="I33" s="73"/>
      <c r="J33" s="270">
        <f>SUM(K33:V33)</f>
        <v>906942</v>
      </c>
      <c r="K33" s="73"/>
      <c r="L33" s="73"/>
      <c r="M33" s="73"/>
      <c r="N33" s="73"/>
      <c r="O33" s="73">
        <f>'DTĐV 2019'!N667</f>
        <v>906942</v>
      </c>
      <c r="P33" s="138"/>
      <c r="Q33" s="73"/>
      <c r="R33" s="73"/>
      <c r="S33" s="73"/>
      <c r="T33" s="73"/>
      <c r="U33" s="73"/>
      <c r="V33" s="73"/>
    </row>
    <row r="34" spans="1:22">
      <c r="A34" s="91">
        <v>3</v>
      </c>
      <c r="B34" s="137" t="s">
        <v>573</v>
      </c>
      <c r="C34" s="73">
        <f>D34+J34</f>
        <v>53000</v>
      </c>
      <c r="D34" s="73">
        <f>E34</f>
        <v>0</v>
      </c>
      <c r="E34" s="73">
        <f>F34+G34</f>
        <v>0</v>
      </c>
      <c r="F34" s="73"/>
      <c r="G34" s="73"/>
      <c r="H34" s="73"/>
      <c r="I34" s="73"/>
      <c r="J34" s="270">
        <f>SUM(K34:V34)</f>
        <v>53000</v>
      </c>
      <c r="K34" s="73"/>
      <c r="L34" s="73"/>
      <c r="M34" s="73"/>
      <c r="N34" s="73"/>
      <c r="O34" s="73">
        <f>'DTĐV 2019'!N669</f>
        <v>53000</v>
      </c>
      <c r="P34" s="138"/>
      <c r="Q34" s="73"/>
      <c r="R34" s="73"/>
      <c r="S34" s="73"/>
      <c r="T34" s="73"/>
      <c r="U34" s="73"/>
      <c r="V34" s="73"/>
    </row>
    <row r="35" spans="1:22">
      <c r="A35" s="91">
        <v>4</v>
      </c>
      <c r="B35" s="137" t="s">
        <v>602</v>
      </c>
      <c r="C35" s="73">
        <f>D35+J35</f>
        <v>71000</v>
      </c>
      <c r="D35" s="73"/>
      <c r="E35" s="73"/>
      <c r="F35" s="73"/>
      <c r="G35" s="73"/>
      <c r="H35" s="73"/>
      <c r="I35" s="73"/>
      <c r="J35" s="270">
        <f>SUM(K35:V35)</f>
        <v>71000</v>
      </c>
      <c r="K35" s="73"/>
      <c r="L35" s="73"/>
      <c r="M35" s="73"/>
      <c r="N35" s="73"/>
      <c r="O35" s="73">
        <f>'DTĐV 2019'!N670</f>
        <v>71000</v>
      </c>
      <c r="P35" s="138"/>
      <c r="Q35" s="73"/>
      <c r="R35" s="73"/>
      <c r="S35" s="73"/>
      <c r="T35" s="73"/>
      <c r="U35" s="73"/>
      <c r="V35" s="73"/>
    </row>
    <row r="36" spans="1:22" ht="31.5">
      <c r="A36" s="91">
        <v>5</v>
      </c>
      <c r="B36" s="680" t="s">
        <v>537</v>
      </c>
      <c r="C36" s="73">
        <f>D36+J36</f>
        <v>6477502.7999999998</v>
      </c>
      <c r="D36" s="73"/>
      <c r="E36" s="73"/>
      <c r="F36" s="73"/>
      <c r="G36" s="73"/>
      <c r="H36" s="73"/>
      <c r="I36" s="73"/>
      <c r="J36" s="270">
        <f>SUM(K36:V36)</f>
        <v>6477502.7999999998</v>
      </c>
      <c r="K36" s="73"/>
      <c r="L36" s="73"/>
      <c r="M36" s="73"/>
      <c r="N36" s="73"/>
      <c r="O36" s="73">
        <f>'DTĐV 2019'!N671</f>
        <v>6477502.7999999998</v>
      </c>
      <c r="P36" s="138"/>
      <c r="Q36" s="73"/>
      <c r="R36" s="73"/>
      <c r="S36" s="73"/>
      <c r="T36" s="73"/>
      <c r="U36" s="73"/>
      <c r="V36" s="73"/>
    </row>
    <row r="37" spans="1:22">
      <c r="A37" s="91">
        <v>6</v>
      </c>
      <c r="B37" s="137" t="s">
        <v>221</v>
      </c>
      <c r="C37" s="73">
        <f t="shared" ref="C37" si="12">D37+J37</f>
        <v>339639.83799999999</v>
      </c>
      <c r="D37" s="73"/>
      <c r="E37" s="73"/>
      <c r="F37" s="73"/>
      <c r="G37" s="73"/>
      <c r="H37" s="73"/>
      <c r="I37" s="73"/>
      <c r="J37" s="270">
        <f t="shared" ref="J37:J39" si="13">SUM(K37:V37)</f>
        <v>339639.83799999999</v>
      </c>
      <c r="K37" s="73"/>
      <c r="L37" s="73"/>
      <c r="M37" s="73"/>
      <c r="N37" s="73"/>
      <c r="O37" s="73">
        <f>'DTĐV 2019'!N672</f>
        <v>339639.83799999999</v>
      </c>
      <c r="P37" s="138"/>
      <c r="Q37" s="73"/>
      <c r="R37" s="73"/>
      <c r="S37" s="73"/>
      <c r="T37" s="73"/>
      <c r="U37" s="73"/>
      <c r="V37" s="73"/>
    </row>
    <row r="38" spans="1:22">
      <c r="A38" s="91">
        <v>7</v>
      </c>
      <c r="B38" s="137" t="s">
        <v>353</v>
      </c>
      <c r="C38" s="73">
        <f>D38+J38</f>
        <v>251935.70450000002</v>
      </c>
      <c r="D38" s="73"/>
      <c r="E38" s="73"/>
      <c r="F38" s="73"/>
      <c r="G38" s="73"/>
      <c r="H38" s="73"/>
      <c r="I38" s="73"/>
      <c r="J38" s="270">
        <f t="shared" si="13"/>
        <v>251935.70450000002</v>
      </c>
      <c r="K38" s="73"/>
      <c r="L38" s="73"/>
      <c r="M38" s="73"/>
      <c r="N38" s="73"/>
      <c r="O38" s="73">
        <f>'DTĐV 2019'!N687</f>
        <v>251935.70450000002</v>
      </c>
      <c r="P38" s="138"/>
      <c r="Q38" s="73"/>
      <c r="R38" s="73"/>
      <c r="S38" s="73"/>
      <c r="T38" s="73"/>
      <c r="U38" s="73"/>
      <c r="V38" s="73"/>
    </row>
    <row r="39" spans="1:22">
      <c r="A39" s="91">
        <v>8</v>
      </c>
      <c r="B39" s="137" t="s">
        <v>262</v>
      </c>
      <c r="C39" s="73">
        <f>D39+J39</f>
        <v>184592.14199999999</v>
      </c>
      <c r="D39" s="73"/>
      <c r="E39" s="73"/>
      <c r="F39" s="73"/>
      <c r="G39" s="73"/>
      <c r="H39" s="73"/>
      <c r="I39" s="73"/>
      <c r="J39" s="270">
        <f t="shared" si="13"/>
        <v>184592.14199999999</v>
      </c>
      <c r="K39" s="73"/>
      <c r="L39" s="73"/>
      <c r="M39" s="73"/>
      <c r="N39" s="73"/>
      <c r="O39" s="73">
        <f>'DTĐV 2019'!N703</f>
        <v>184592.14199999999</v>
      </c>
      <c r="P39" s="138"/>
      <c r="Q39" s="73"/>
      <c r="R39" s="73"/>
      <c r="S39" s="73"/>
      <c r="T39" s="73"/>
      <c r="U39" s="73"/>
      <c r="V39" s="73"/>
    </row>
    <row r="40" spans="1:22">
      <c r="A40" s="91">
        <v>9</v>
      </c>
      <c r="B40" s="137" t="s">
        <v>224</v>
      </c>
      <c r="C40" s="73">
        <f t="shared" ref="C40:C48" si="14">D40+J40</f>
        <v>20000</v>
      </c>
      <c r="D40" s="73"/>
      <c r="E40" s="73"/>
      <c r="F40" s="73"/>
      <c r="G40" s="73"/>
      <c r="H40" s="73"/>
      <c r="I40" s="73"/>
      <c r="J40" s="270">
        <f>SUM(K40:V40)</f>
        <v>20000</v>
      </c>
      <c r="K40" s="73"/>
      <c r="L40" s="73"/>
      <c r="M40" s="73"/>
      <c r="N40" s="73"/>
      <c r="O40" s="73">
        <f>'DTĐV 2019'!N717</f>
        <v>20000</v>
      </c>
      <c r="P40" s="138"/>
      <c r="Q40" s="73"/>
      <c r="R40" s="73"/>
      <c r="S40" s="73"/>
      <c r="T40" s="73"/>
      <c r="U40" s="73"/>
      <c r="V40" s="73"/>
    </row>
    <row r="41" spans="1:22">
      <c r="A41" s="91">
        <v>10</v>
      </c>
      <c r="B41" s="137" t="s">
        <v>354</v>
      </c>
      <c r="C41" s="73">
        <f t="shared" si="14"/>
        <v>40000</v>
      </c>
      <c r="D41" s="73"/>
      <c r="E41" s="73"/>
      <c r="F41" s="73"/>
      <c r="G41" s="73"/>
      <c r="H41" s="73"/>
      <c r="I41" s="73"/>
      <c r="J41" s="270">
        <f>SUM(K41:V41)</f>
        <v>40000</v>
      </c>
      <c r="K41" s="73"/>
      <c r="L41" s="73"/>
      <c r="M41" s="73"/>
      <c r="N41" s="73"/>
      <c r="O41" s="73">
        <f>'DTĐV 2019'!N718</f>
        <v>40000</v>
      </c>
      <c r="P41" s="138"/>
      <c r="Q41" s="73"/>
      <c r="R41" s="73"/>
      <c r="S41" s="73"/>
      <c r="T41" s="73"/>
      <c r="U41" s="73"/>
      <c r="V41" s="73"/>
    </row>
    <row r="42" spans="1:22">
      <c r="A42" s="91">
        <v>11</v>
      </c>
      <c r="B42" s="137" t="s">
        <v>355</v>
      </c>
      <c r="C42" s="73">
        <f t="shared" si="14"/>
        <v>71000</v>
      </c>
      <c r="D42" s="73"/>
      <c r="E42" s="73"/>
      <c r="F42" s="73"/>
      <c r="G42" s="73"/>
      <c r="H42" s="73"/>
      <c r="I42" s="73"/>
      <c r="J42" s="270">
        <f t="shared" ref="J42:J48" si="15">SUM(K42:V42)</f>
        <v>71000</v>
      </c>
      <c r="K42" s="73"/>
      <c r="L42" s="73"/>
      <c r="M42" s="73"/>
      <c r="N42" s="73"/>
      <c r="O42" s="73">
        <f>'DTĐV 2019'!N719</f>
        <v>71000</v>
      </c>
      <c r="P42" s="138"/>
      <c r="Q42" s="73"/>
      <c r="R42" s="73"/>
      <c r="S42" s="73"/>
      <c r="T42" s="73"/>
      <c r="U42" s="73"/>
      <c r="V42" s="73"/>
    </row>
    <row r="43" spans="1:22">
      <c r="A43" s="91">
        <v>12</v>
      </c>
      <c r="B43" s="137" t="s">
        <v>222</v>
      </c>
      <c r="C43" s="73">
        <f t="shared" si="14"/>
        <v>20000</v>
      </c>
      <c r="D43" s="73"/>
      <c r="E43" s="73"/>
      <c r="F43" s="73"/>
      <c r="G43" s="73"/>
      <c r="H43" s="73"/>
      <c r="I43" s="73"/>
      <c r="J43" s="270">
        <f t="shared" si="15"/>
        <v>20000</v>
      </c>
      <c r="K43" s="73"/>
      <c r="L43" s="73"/>
      <c r="M43" s="73"/>
      <c r="N43" s="73"/>
      <c r="O43" s="73">
        <f>'DTĐV 2019'!N720</f>
        <v>20000</v>
      </c>
      <c r="P43" s="138"/>
      <c r="Q43" s="73"/>
      <c r="R43" s="73"/>
      <c r="S43" s="73"/>
      <c r="T43" s="73"/>
      <c r="U43" s="73"/>
      <c r="V43" s="73"/>
    </row>
    <row r="44" spans="1:22">
      <c r="A44" s="91">
        <v>13</v>
      </c>
      <c r="B44" s="137" t="s">
        <v>223</v>
      </c>
      <c r="C44" s="73">
        <f t="shared" si="14"/>
        <v>71000</v>
      </c>
      <c r="D44" s="73"/>
      <c r="E44" s="73"/>
      <c r="F44" s="73"/>
      <c r="G44" s="73"/>
      <c r="H44" s="73"/>
      <c r="I44" s="73"/>
      <c r="J44" s="270">
        <f t="shared" si="15"/>
        <v>71000</v>
      </c>
      <c r="K44" s="73"/>
      <c r="L44" s="73"/>
      <c r="M44" s="73"/>
      <c r="N44" s="73"/>
      <c r="O44" s="73">
        <f>'DTĐV 2019'!N721</f>
        <v>71000</v>
      </c>
      <c r="P44" s="138"/>
      <c r="Q44" s="73"/>
      <c r="R44" s="73"/>
      <c r="S44" s="73"/>
      <c r="T44" s="73"/>
      <c r="U44" s="73"/>
      <c r="V44" s="73"/>
    </row>
    <row r="45" spans="1:22">
      <c r="A45" s="91">
        <v>14</v>
      </c>
      <c r="B45" s="137" t="s">
        <v>574</v>
      </c>
      <c r="C45" s="73">
        <f t="shared" si="14"/>
        <v>20000</v>
      </c>
      <c r="D45" s="73"/>
      <c r="E45" s="73"/>
      <c r="F45" s="73"/>
      <c r="G45" s="73"/>
      <c r="H45" s="73"/>
      <c r="I45" s="73"/>
      <c r="J45" s="270">
        <f t="shared" si="15"/>
        <v>20000</v>
      </c>
      <c r="K45" s="73"/>
      <c r="L45" s="73"/>
      <c r="M45" s="73"/>
      <c r="N45" s="73"/>
      <c r="O45" s="73">
        <f>'DTĐV 2019'!N722</f>
        <v>20000</v>
      </c>
      <c r="P45" s="138"/>
      <c r="Q45" s="73"/>
      <c r="R45" s="73"/>
      <c r="S45" s="73"/>
      <c r="T45" s="73"/>
      <c r="U45" s="73"/>
      <c r="V45" s="73"/>
    </row>
    <row r="46" spans="1:22">
      <c r="A46" s="91">
        <v>15</v>
      </c>
      <c r="B46" s="193" t="s">
        <v>589</v>
      </c>
      <c r="C46" s="73">
        <f t="shared" si="14"/>
        <v>20000</v>
      </c>
      <c r="D46" s="73"/>
      <c r="E46" s="73"/>
      <c r="F46" s="73"/>
      <c r="G46" s="73"/>
      <c r="H46" s="73"/>
      <c r="I46" s="73"/>
      <c r="J46" s="270">
        <f t="shared" si="15"/>
        <v>20000</v>
      </c>
      <c r="K46" s="73"/>
      <c r="L46" s="73"/>
      <c r="M46" s="73"/>
      <c r="N46" s="73"/>
      <c r="O46" s="73">
        <f>'DTĐV 2019'!N724</f>
        <v>20000</v>
      </c>
      <c r="P46" s="138"/>
      <c r="Q46" s="73"/>
      <c r="R46" s="73"/>
      <c r="S46" s="73"/>
      <c r="T46" s="73"/>
      <c r="U46" s="73"/>
      <c r="V46" s="73"/>
    </row>
    <row r="47" spans="1:22">
      <c r="A47" s="91">
        <v>16</v>
      </c>
      <c r="B47" s="193" t="s">
        <v>656</v>
      </c>
      <c r="C47" s="73">
        <f t="shared" si="14"/>
        <v>20000</v>
      </c>
      <c r="D47" s="73"/>
      <c r="E47" s="73"/>
      <c r="F47" s="73"/>
      <c r="G47" s="73"/>
      <c r="H47" s="73"/>
      <c r="I47" s="73"/>
      <c r="J47" s="270">
        <f t="shared" si="15"/>
        <v>20000</v>
      </c>
      <c r="K47" s="73"/>
      <c r="L47" s="73"/>
      <c r="M47" s="73"/>
      <c r="N47" s="73"/>
      <c r="O47" s="73">
        <f>'DTĐV 2019'!N723</f>
        <v>20000</v>
      </c>
      <c r="P47" s="138"/>
      <c r="Q47" s="73"/>
      <c r="R47" s="73"/>
      <c r="S47" s="73"/>
      <c r="T47" s="73"/>
      <c r="U47" s="73"/>
      <c r="V47" s="73"/>
    </row>
    <row r="48" spans="1:22">
      <c r="A48" s="91">
        <v>17</v>
      </c>
      <c r="B48" s="193" t="s">
        <v>678</v>
      </c>
      <c r="C48" s="73">
        <f t="shared" si="14"/>
        <v>20000</v>
      </c>
      <c r="D48" s="73"/>
      <c r="E48" s="73"/>
      <c r="F48" s="73"/>
      <c r="G48" s="73"/>
      <c r="H48" s="73"/>
      <c r="I48" s="73"/>
      <c r="J48" s="270">
        <f t="shared" si="15"/>
        <v>20000</v>
      </c>
      <c r="K48" s="73"/>
      <c r="L48" s="73"/>
      <c r="M48" s="73"/>
      <c r="N48" s="73"/>
      <c r="O48" s="73">
        <f>'DTĐV 2019'!N725</f>
        <v>20000</v>
      </c>
      <c r="P48" s="138"/>
      <c r="Q48" s="73"/>
      <c r="R48" s="73"/>
      <c r="S48" s="73"/>
      <c r="T48" s="73"/>
      <c r="U48" s="73"/>
      <c r="V48" s="73"/>
    </row>
    <row r="49" spans="1:22" hidden="1">
      <c r="A49" s="135"/>
      <c r="B49" s="136"/>
      <c r="C49" s="72"/>
      <c r="D49" s="72"/>
      <c r="E49" s="72"/>
      <c r="F49" s="72"/>
      <c r="G49" s="72"/>
      <c r="H49" s="72"/>
      <c r="I49" s="72"/>
      <c r="J49" s="266"/>
      <c r="K49" s="72">
        <f t="shared" ref="K49:V49" si="16">K50</f>
        <v>0</v>
      </c>
      <c r="L49" s="72"/>
      <c r="M49" s="72">
        <f t="shared" si="16"/>
        <v>0</v>
      </c>
      <c r="N49" s="72">
        <f t="shared" si="16"/>
        <v>0</v>
      </c>
      <c r="O49" s="72">
        <f t="shared" si="16"/>
        <v>0</v>
      </c>
      <c r="P49" s="72">
        <f t="shared" si="16"/>
        <v>0</v>
      </c>
      <c r="Q49" s="72">
        <f t="shared" si="16"/>
        <v>0</v>
      </c>
      <c r="R49" s="72">
        <f>R50</f>
        <v>0</v>
      </c>
      <c r="S49" s="72"/>
      <c r="T49" s="72"/>
      <c r="U49" s="72"/>
      <c r="V49" s="72">
        <f t="shared" si="16"/>
        <v>0</v>
      </c>
    </row>
    <row r="50" spans="1:22" hidden="1">
      <c r="A50" s="91"/>
      <c r="B50" s="137"/>
      <c r="C50" s="73"/>
      <c r="D50" s="73"/>
      <c r="E50" s="73"/>
      <c r="F50" s="73"/>
      <c r="G50" s="73"/>
      <c r="H50" s="73"/>
      <c r="I50" s="73"/>
      <c r="J50" s="267"/>
      <c r="K50" s="138"/>
      <c r="L50" s="138"/>
      <c r="M50" s="73"/>
      <c r="N50" s="73"/>
      <c r="O50" s="73"/>
      <c r="P50" s="73"/>
      <c r="Q50" s="73"/>
      <c r="R50" s="73"/>
      <c r="S50" s="73"/>
      <c r="T50" s="73"/>
      <c r="U50" s="73"/>
      <c r="V50" s="73"/>
    </row>
    <row r="51" spans="1:22">
      <c r="A51" s="139" t="s">
        <v>283</v>
      </c>
      <c r="B51" s="136" t="s">
        <v>1195</v>
      </c>
      <c r="C51" s="72">
        <f>SUM(C52:C75)</f>
        <v>27776391.139000002</v>
      </c>
      <c r="D51" s="72">
        <f t="shared" ref="D51:I51" si="17">SUM(D52:D73)</f>
        <v>0</v>
      </c>
      <c r="E51" s="72">
        <f t="shared" si="17"/>
        <v>0</v>
      </c>
      <c r="F51" s="72">
        <f t="shared" si="17"/>
        <v>0</v>
      </c>
      <c r="G51" s="72">
        <f t="shared" si="17"/>
        <v>0</v>
      </c>
      <c r="H51" s="72">
        <f t="shared" si="17"/>
        <v>0</v>
      </c>
      <c r="I51" s="72">
        <f t="shared" si="17"/>
        <v>0</v>
      </c>
      <c r="J51" s="268">
        <f>SUM(J52:J75)</f>
        <v>27776391.139000002</v>
      </c>
      <c r="K51" s="72">
        <f>SUM(K52:K73)</f>
        <v>0</v>
      </c>
      <c r="L51" s="72"/>
      <c r="M51" s="72">
        <f t="shared" ref="M51:R51" si="18">SUM(M52:M73)</f>
        <v>0</v>
      </c>
      <c r="N51" s="72">
        <f t="shared" si="18"/>
        <v>0</v>
      </c>
      <c r="O51" s="72">
        <f t="shared" si="18"/>
        <v>0</v>
      </c>
      <c r="P51" s="72">
        <f>SUM(P52:P75)</f>
        <v>27776391.139000002</v>
      </c>
      <c r="Q51" s="72">
        <f t="shared" si="18"/>
        <v>0</v>
      </c>
      <c r="R51" s="72">
        <f t="shared" si="18"/>
        <v>0</v>
      </c>
      <c r="S51" s="72"/>
      <c r="T51" s="72"/>
      <c r="U51" s="72"/>
      <c r="V51" s="72">
        <f>SUM(V52:V73)</f>
        <v>0</v>
      </c>
    </row>
    <row r="52" spans="1:22">
      <c r="A52" s="91">
        <v>1</v>
      </c>
      <c r="B52" s="137" t="s">
        <v>675</v>
      </c>
      <c r="C52" s="73">
        <f>D52+J52</f>
        <v>7788651.5629999992</v>
      </c>
      <c r="D52" s="73">
        <f>E52</f>
        <v>0</v>
      </c>
      <c r="E52" s="73">
        <f>F52+G52</f>
        <v>0</v>
      </c>
      <c r="F52" s="73"/>
      <c r="G52" s="73"/>
      <c r="H52" s="73"/>
      <c r="I52" s="73"/>
      <c r="J52" s="269">
        <f>'DTĐV 2019'!N16</f>
        <v>7788651.5629999992</v>
      </c>
      <c r="K52" s="73"/>
      <c r="L52" s="73"/>
      <c r="M52" s="73"/>
      <c r="N52" s="73"/>
      <c r="O52" s="73"/>
      <c r="P52" s="138">
        <f>'DTĐV 2019'!N16</f>
        <v>7788651.5629999992</v>
      </c>
      <c r="Q52" s="73"/>
      <c r="R52" s="73"/>
      <c r="S52" s="73"/>
      <c r="T52" s="73"/>
      <c r="U52" s="73"/>
      <c r="V52" s="73"/>
    </row>
    <row r="53" spans="1:22">
      <c r="A53" s="91">
        <v>2</v>
      </c>
      <c r="B53" s="137" t="s">
        <v>215</v>
      </c>
      <c r="C53" s="73">
        <f>D53+J53</f>
        <v>1495560</v>
      </c>
      <c r="D53" s="73"/>
      <c r="E53" s="73"/>
      <c r="F53" s="73"/>
      <c r="G53" s="73"/>
      <c r="H53" s="73"/>
      <c r="I53" s="73"/>
      <c r="J53" s="269">
        <f>'DTĐV 2019'!N65</f>
        <v>1495560</v>
      </c>
      <c r="K53" s="73"/>
      <c r="L53" s="73"/>
      <c r="M53" s="73"/>
      <c r="N53" s="73"/>
      <c r="O53" s="73"/>
      <c r="P53" s="138">
        <f>'DTĐV 2019'!N65</f>
        <v>1495560</v>
      </c>
      <c r="Q53" s="73"/>
      <c r="R53" s="73"/>
      <c r="S53" s="73"/>
      <c r="T53" s="73"/>
      <c r="U53" s="73"/>
      <c r="V53" s="73"/>
    </row>
    <row r="54" spans="1:22">
      <c r="A54" s="91">
        <v>3</v>
      </c>
      <c r="B54" s="137" t="s">
        <v>676</v>
      </c>
      <c r="C54" s="73">
        <f>D54+J54</f>
        <v>9759403.2719999999</v>
      </c>
      <c r="D54" s="73"/>
      <c r="E54" s="73"/>
      <c r="F54" s="73"/>
      <c r="G54" s="73"/>
      <c r="H54" s="73"/>
      <c r="I54" s="73"/>
      <c r="J54" s="269">
        <f>'DTĐV 2019'!N92</f>
        <v>9759403.2719999999</v>
      </c>
      <c r="K54" s="73"/>
      <c r="L54" s="73"/>
      <c r="M54" s="73"/>
      <c r="N54" s="73"/>
      <c r="O54" s="73"/>
      <c r="P54" s="138">
        <f>'DTĐV 2019'!N92</f>
        <v>9759403.2719999999</v>
      </c>
      <c r="Q54" s="73"/>
      <c r="R54" s="73"/>
      <c r="S54" s="73"/>
      <c r="T54" s="73"/>
      <c r="U54" s="73"/>
      <c r="V54" s="73"/>
    </row>
    <row r="55" spans="1:22">
      <c r="A55" s="91">
        <v>4</v>
      </c>
      <c r="B55" s="137" t="s">
        <v>788</v>
      </c>
      <c r="C55" s="73">
        <f>D55+J55</f>
        <v>1814611.82</v>
      </c>
      <c r="D55" s="73"/>
      <c r="E55" s="73"/>
      <c r="F55" s="73"/>
      <c r="G55" s="73"/>
      <c r="H55" s="73"/>
      <c r="I55" s="73"/>
      <c r="J55" s="269">
        <f t="shared" ref="J55:J69" si="19">SUM(K55:V55)</f>
        <v>1814611.82</v>
      </c>
      <c r="K55" s="73"/>
      <c r="L55" s="73"/>
      <c r="M55" s="73"/>
      <c r="N55" s="73"/>
      <c r="O55" s="73"/>
      <c r="P55" s="138">
        <f>'DTĐV 2019'!N134</f>
        <v>1814611.82</v>
      </c>
      <c r="Q55" s="73"/>
      <c r="R55" s="73"/>
      <c r="S55" s="73"/>
      <c r="T55" s="73"/>
      <c r="U55" s="73"/>
      <c r="V55" s="73"/>
    </row>
    <row r="56" spans="1:22">
      <c r="A56" s="91">
        <v>5</v>
      </c>
      <c r="B56" s="137" t="s">
        <v>310</v>
      </c>
      <c r="C56" s="73">
        <f t="shared" ref="C56:C78" si="20">D56+J56</f>
        <v>668672.08000000007</v>
      </c>
      <c r="D56" s="73"/>
      <c r="E56" s="73"/>
      <c r="F56" s="73"/>
      <c r="G56" s="73"/>
      <c r="H56" s="73"/>
      <c r="I56" s="73"/>
      <c r="J56" s="269">
        <f t="shared" si="19"/>
        <v>668672.08000000007</v>
      </c>
      <c r="K56" s="73"/>
      <c r="L56" s="73"/>
      <c r="M56" s="73"/>
      <c r="N56" s="73"/>
      <c r="O56" s="73"/>
      <c r="P56" s="138">
        <f>'DTĐV 2019'!N170</f>
        <v>668672.08000000007</v>
      </c>
      <c r="Q56" s="73"/>
      <c r="R56" s="73"/>
      <c r="S56" s="73"/>
      <c r="T56" s="73"/>
      <c r="U56" s="73"/>
      <c r="V56" s="73"/>
    </row>
    <row r="57" spans="1:22">
      <c r="A57" s="91">
        <v>6</v>
      </c>
      <c r="B57" s="137" t="s">
        <v>258</v>
      </c>
      <c r="C57" s="73">
        <f t="shared" si="20"/>
        <v>575966.1</v>
      </c>
      <c r="D57" s="73"/>
      <c r="E57" s="73"/>
      <c r="F57" s="73"/>
      <c r="G57" s="73"/>
      <c r="H57" s="73"/>
      <c r="I57" s="73"/>
      <c r="J57" s="269">
        <f t="shared" si="19"/>
        <v>575966.1</v>
      </c>
      <c r="K57" s="73"/>
      <c r="L57" s="73"/>
      <c r="M57" s="73"/>
      <c r="N57" s="73"/>
      <c r="O57" s="73"/>
      <c r="P57" s="138">
        <f>'DTĐV 2019'!N197</f>
        <v>575966.1</v>
      </c>
      <c r="Q57" s="73"/>
      <c r="R57" s="73"/>
      <c r="S57" s="73"/>
      <c r="T57" s="73"/>
      <c r="U57" s="73"/>
      <c r="V57" s="73"/>
    </row>
    <row r="58" spans="1:22">
      <c r="A58" s="91">
        <v>7</v>
      </c>
      <c r="B58" s="137" t="s">
        <v>259</v>
      </c>
      <c r="C58" s="73">
        <f t="shared" si="20"/>
        <v>434064.16000000003</v>
      </c>
      <c r="D58" s="73"/>
      <c r="E58" s="73"/>
      <c r="F58" s="73"/>
      <c r="G58" s="73"/>
      <c r="H58" s="73"/>
      <c r="I58" s="73"/>
      <c r="J58" s="269">
        <f t="shared" si="19"/>
        <v>434064.16000000003</v>
      </c>
      <c r="K58" s="73"/>
      <c r="L58" s="73"/>
      <c r="M58" s="73"/>
      <c r="N58" s="73"/>
      <c r="O58" s="138"/>
      <c r="P58" s="73">
        <f>'DTĐV 2019'!N216</f>
        <v>434064.16000000003</v>
      </c>
      <c r="Q58" s="73"/>
      <c r="R58" s="73"/>
      <c r="S58" s="73"/>
      <c r="T58" s="73"/>
      <c r="U58" s="73"/>
      <c r="V58" s="73"/>
    </row>
    <row r="59" spans="1:22">
      <c r="A59" s="91">
        <v>8</v>
      </c>
      <c r="B59" s="137" t="s">
        <v>260</v>
      </c>
      <c r="C59" s="73">
        <f t="shared" si="20"/>
        <v>436633.73199999996</v>
      </c>
      <c r="D59" s="73"/>
      <c r="E59" s="73"/>
      <c r="F59" s="73"/>
      <c r="G59" s="73"/>
      <c r="H59" s="73"/>
      <c r="I59" s="73"/>
      <c r="J59" s="269">
        <f t="shared" si="19"/>
        <v>436633.73199999996</v>
      </c>
      <c r="K59" s="73"/>
      <c r="L59" s="73"/>
      <c r="M59" s="73"/>
      <c r="N59" s="73"/>
      <c r="O59" s="138"/>
      <c r="P59" s="73">
        <f>'DTĐV 2019'!N231</f>
        <v>436633.73199999996</v>
      </c>
      <c r="Q59" s="73"/>
      <c r="R59" s="73"/>
      <c r="S59" s="73"/>
      <c r="T59" s="73"/>
      <c r="U59" s="73"/>
      <c r="V59" s="73"/>
    </row>
    <row r="60" spans="1:22">
      <c r="A60" s="91">
        <v>9</v>
      </c>
      <c r="B60" s="137" t="s">
        <v>95</v>
      </c>
      <c r="C60" s="73">
        <f t="shared" si="20"/>
        <v>368712</v>
      </c>
      <c r="D60" s="73"/>
      <c r="E60" s="73"/>
      <c r="F60" s="73"/>
      <c r="G60" s="73"/>
      <c r="H60" s="73"/>
      <c r="I60" s="73"/>
      <c r="J60" s="269">
        <f t="shared" si="19"/>
        <v>368712</v>
      </c>
      <c r="K60" s="73"/>
      <c r="L60" s="73"/>
      <c r="M60" s="73"/>
      <c r="N60" s="73"/>
      <c r="O60" s="73"/>
      <c r="P60" s="138">
        <f>'DTĐV 2019'!N248</f>
        <v>368712</v>
      </c>
      <c r="Q60" s="73"/>
      <c r="R60" s="73"/>
      <c r="S60" s="73"/>
      <c r="T60" s="73"/>
      <c r="U60" s="73"/>
      <c r="V60" s="73"/>
    </row>
    <row r="61" spans="1:22">
      <c r="A61" s="91">
        <v>10</v>
      </c>
      <c r="B61" s="137" t="s">
        <v>96</v>
      </c>
      <c r="C61" s="73">
        <f t="shared" si="20"/>
        <v>1725686.4120000002</v>
      </c>
      <c r="D61" s="73"/>
      <c r="E61" s="73"/>
      <c r="F61" s="73"/>
      <c r="G61" s="73"/>
      <c r="H61" s="73"/>
      <c r="I61" s="73"/>
      <c r="J61" s="269">
        <f t="shared" si="19"/>
        <v>1725686.4120000002</v>
      </c>
      <c r="K61" s="73"/>
      <c r="L61" s="73"/>
      <c r="M61" s="73"/>
      <c r="N61" s="73"/>
      <c r="O61" s="73"/>
      <c r="P61" s="73">
        <f>'DTĐV 2019'!N251</f>
        <v>1725686.4120000002</v>
      </c>
      <c r="Q61" s="73"/>
      <c r="R61" s="138"/>
      <c r="S61" s="138"/>
      <c r="T61" s="138"/>
      <c r="U61" s="138"/>
      <c r="V61" s="73"/>
    </row>
    <row r="62" spans="1:22">
      <c r="A62" s="91">
        <v>11</v>
      </c>
      <c r="B62" s="137" t="s">
        <v>308</v>
      </c>
      <c r="C62" s="73">
        <f t="shared" si="20"/>
        <v>192500</v>
      </c>
      <c r="D62" s="73"/>
      <c r="E62" s="73"/>
      <c r="F62" s="73"/>
      <c r="G62" s="73"/>
      <c r="H62" s="73"/>
      <c r="I62" s="73"/>
      <c r="J62" s="269">
        <f t="shared" si="19"/>
        <v>192500</v>
      </c>
      <c r="K62" s="73"/>
      <c r="L62" s="73"/>
      <c r="M62" s="73"/>
      <c r="N62" s="73"/>
      <c r="O62" s="73"/>
      <c r="P62" s="138">
        <f>'DTĐV 2019'!N279</f>
        <v>192500</v>
      </c>
      <c r="Q62" s="73"/>
      <c r="R62" s="73"/>
      <c r="S62" s="73"/>
      <c r="T62" s="73"/>
      <c r="U62" s="73"/>
      <c r="V62" s="73"/>
    </row>
    <row r="63" spans="1:22">
      <c r="A63" s="91">
        <v>12</v>
      </c>
      <c r="B63" s="137" t="s">
        <v>798</v>
      </c>
      <c r="C63" s="73">
        <f t="shared" si="20"/>
        <v>239500</v>
      </c>
      <c r="D63" s="73"/>
      <c r="E63" s="73"/>
      <c r="F63" s="73"/>
      <c r="G63" s="73"/>
      <c r="H63" s="73"/>
      <c r="I63" s="73"/>
      <c r="J63" s="269">
        <f t="shared" si="19"/>
        <v>239500</v>
      </c>
      <c r="K63" s="73"/>
      <c r="L63" s="73"/>
      <c r="M63" s="73"/>
      <c r="N63" s="73"/>
      <c r="O63" s="73"/>
      <c r="P63" s="73">
        <f>'DTĐV 2019'!N289</f>
        <v>239500</v>
      </c>
      <c r="Q63" s="73"/>
      <c r="R63" s="73"/>
      <c r="S63" s="73"/>
      <c r="T63" s="73"/>
      <c r="U63" s="73"/>
      <c r="V63" s="73"/>
    </row>
    <row r="64" spans="1:22">
      <c r="A64" s="91">
        <v>13</v>
      </c>
      <c r="B64" s="137" t="s">
        <v>97</v>
      </c>
      <c r="C64" s="73">
        <f t="shared" si="20"/>
        <v>136430</v>
      </c>
      <c r="D64" s="73">
        <f>E64</f>
        <v>0</v>
      </c>
      <c r="E64" s="73">
        <f>F64+G64</f>
        <v>0</v>
      </c>
      <c r="F64" s="73"/>
      <c r="G64" s="73"/>
      <c r="H64" s="73"/>
      <c r="I64" s="73"/>
      <c r="J64" s="269">
        <f t="shared" si="19"/>
        <v>136430</v>
      </c>
      <c r="K64" s="73"/>
      <c r="L64" s="73"/>
      <c r="M64" s="73"/>
      <c r="N64" s="73"/>
      <c r="O64" s="138"/>
      <c r="P64" s="140">
        <f>'DTĐV 2019'!N314</f>
        <v>136430</v>
      </c>
      <c r="Q64" s="73"/>
      <c r="R64" s="73"/>
      <c r="S64" s="73"/>
      <c r="T64" s="73"/>
      <c r="U64" s="73"/>
      <c r="V64" s="73"/>
    </row>
    <row r="65" spans="1:22">
      <c r="A65" s="91">
        <v>14</v>
      </c>
      <c r="B65" s="137" t="s">
        <v>441</v>
      </c>
      <c r="C65" s="73">
        <f t="shared" si="20"/>
        <v>113000</v>
      </c>
      <c r="D65" s="73">
        <f>E65</f>
        <v>0</v>
      </c>
      <c r="E65" s="73">
        <f>F65+G65</f>
        <v>0</v>
      </c>
      <c r="F65" s="73"/>
      <c r="G65" s="73"/>
      <c r="H65" s="73"/>
      <c r="I65" s="73"/>
      <c r="J65" s="269">
        <f t="shared" si="19"/>
        <v>113000</v>
      </c>
      <c r="K65" s="73"/>
      <c r="L65" s="73"/>
      <c r="M65" s="73"/>
      <c r="N65" s="73"/>
      <c r="O65" s="73"/>
      <c r="P65" s="140">
        <f>'DTĐV 2019'!N301</f>
        <v>113000</v>
      </c>
      <c r="Q65" s="138"/>
      <c r="R65" s="73"/>
      <c r="S65" s="73"/>
      <c r="T65" s="73"/>
      <c r="U65" s="73"/>
      <c r="V65" s="73"/>
    </row>
    <row r="66" spans="1:22">
      <c r="A66" s="91">
        <v>15</v>
      </c>
      <c r="B66" s="137" t="s">
        <v>98</v>
      </c>
      <c r="C66" s="73">
        <f t="shared" si="20"/>
        <v>293500</v>
      </c>
      <c r="D66" s="73"/>
      <c r="E66" s="73"/>
      <c r="F66" s="73"/>
      <c r="G66" s="73"/>
      <c r="H66" s="73"/>
      <c r="I66" s="73"/>
      <c r="J66" s="269">
        <f t="shared" si="19"/>
        <v>293500</v>
      </c>
      <c r="K66" s="73"/>
      <c r="L66" s="73"/>
      <c r="M66" s="73"/>
      <c r="N66" s="73"/>
      <c r="O66" s="73"/>
      <c r="P66" s="140">
        <f>'DTĐV 2019'!N328</f>
        <v>293500</v>
      </c>
      <c r="Q66" s="138"/>
      <c r="R66" s="73"/>
      <c r="S66" s="73"/>
      <c r="T66" s="73"/>
      <c r="U66" s="73"/>
      <c r="V66" s="73"/>
    </row>
    <row r="67" spans="1:22">
      <c r="A67" s="91">
        <v>16</v>
      </c>
      <c r="B67" s="137" t="s">
        <v>201</v>
      </c>
      <c r="C67" s="73">
        <f t="shared" si="20"/>
        <v>249500</v>
      </c>
      <c r="D67" s="73">
        <f>E67</f>
        <v>0</v>
      </c>
      <c r="E67" s="73">
        <f>F67+G67</f>
        <v>0</v>
      </c>
      <c r="F67" s="73"/>
      <c r="G67" s="73"/>
      <c r="H67" s="73"/>
      <c r="I67" s="73"/>
      <c r="J67" s="269">
        <f t="shared" si="19"/>
        <v>249500</v>
      </c>
      <c r="K67" s="73"/>
      <c r="L67" s="73"/>
      <c r="M67" s="73"/>
      <c r="N67" s="73"/>
      <c r="O67" s="73"/>
      <c r="P67" s="140">
        <f>'DTĐV 2019'!N265</f>
        <v>249500</v>
      </c>
      <c r="Q67" s="138"/>
      <c r="R67" s="73"/>
      <c r="S67" s="73"/>
      <c r="T67" s="73"/>
      <c r="U67" s="73"/>
      <c r="V67" s="73"/>
    </row>
    <row r="68" spans="1:22">
      <c r="A68" s="91">
        <v>17</v>
      </c>
      <c r="B68" s="137" t="s">
        <v>148</v>
      </c>
      <c r="C68" s="73">
        <f t="shared" si="20"/>
        <v>62000</v>
      </c>
      <c r="D68" s="73"/>
      <c r="E68" s="73"/>
      <c r="F68" s="73"/>
      <c r="G68" s="73"/>
      <c r="H68" s="73"/>
      <c r="I68" s="73"/>
      <c r="J68" s="269">
        <f t="shared" si="19"/>
        <v>62000</v>
      </c>
      <c r="K68" s="73"/>
      <c r="L68" s="73"/>
      <c r="M68" s="73"/>
      <c r="N68" s="73"/>
      <c r="O68" s="73"/>
      <c r="P68" s="140">
        <f>'DTĐV 2019'!N346</f>
        <v>62000</v>
      </c>
      <c r="Q68" s="138"/>
      <c r="R68" s="73"/>
      <c r="S68" s="73"/>
      <c r="T68" s="73"/>
      <c r="U68" s="73"/>
      <c r="V68" s="73"/>
    </row>
    <row r="69" spans="1:22">
      <c r="A69" s="91">
        <v>18</v>
      </c>
      <c r="B69" s="137" t="s">
        <v>671</v>
      </c>
      <c r="C69" s="73">
        <f t="shared" si="20"/>
        <v>71000</v>
      </c>
      <c r="D69" s="73"/>
      <c r="E69" s="73"/>
      <c r="F69" s="73"/>
      <c r="G69" s="73"/>
      <c r="H69" s="73"/>
      <c r="I69" s="73"/>
      <c r="J69" s="269">
        <f t="shared" si="19"/>
        <v>71000</v>
      </c>
      <c r="K69" s="73"/>
      <c r="L69" s="73"/>
      <c r="M69" s="73"/>
      <c r="N69" s="73"/>
      <c r="O69" s="73"/>
      <c r="P69" s="140">
        <f>'DTĐV 2019'!N358</f>
        <v>71000</v>
      </c>
      <c r="Q69" s="138"/>
      <c r="R69" s="73"/>
      <c r="S69" s="73"/>
      <c r="T69" s="73"/>
      <c r="U69" s="73"/>
      <c r="V69" s="73"/>
    </row>
    <row r="70" spans="1:22">
      <c r="A70" s="91">
        <v>19</v>
      </c>
      <c r="B70" s="137" t="s">
        <v>588</v>
      </c>
      <c r="C70" s="73">
        <f>D70+J70</f>
        <v>56000</v>
      </c>
      <c r="D70" s="73"/>
      <c r="E70" s="73"/>
      <c r="F70" s="73"/>
      <c r="G70" s="73"/>
      <c r="H70" s="73"/>
      <c r="I70" s="73"/>
      <c r="J70" s="269">
        <f>'DTĐV 2019'!N352</f>
        <v>56000</v>
      </c>
      <c r="K70" s="73"/>
      <c r="L70" s="73"/>
      <c r="M70" s="73"/>
      <c r="N70" s="73"/>
      <c r="O70" s="73"/>
      <c r="P70" s="140">
        <f>'DTĐV 2019'!N352</f>
        <v>56000</v>
      </c>
      <c r="Q70" s="138"/>
      <c r="R70" s="73"/>
      <c r="S70" s="73"/>
      <c r="T70" s="73"/>
      <c r="U70" s="73"/>
      <c r="V70" s="73"/>
    </row>
    <row r="71" spans="1:22">
      <c r="A71" s="91">
        <v>20</v>
      </c>
      <c r="B71" s="137" t="s">
        <v>601</v>
      </c>
      <c r="C71" s="73">
        <f t="shared" si="20"/>
        <v>51000</v>
      </c>
      <c r="D71" s="73"/>
      <c r="E71" s="73"/>
      <c r="F71" s="73"/>
      <c r="G71" s="73"/>
      <c r="H71" s="73"/>
      <c r="I71" s="73"/>
      <c r="J71" s="269">
        <f>'DTĐV 2019'!N365</f>
        <v>51000</v>
      </c>
      <c r="K71" s="73"/>
      <c r="L71" s="73"/>
      <c r="M71" s="73"/>
      <c r="N71" s="73"/>
      <c r="O71" s="73"/>
      <c r="P71" s="140">
        <f>'DTĐV 2019'!N365</f>
        <v>51000</v>
      </c>
      <c r="Q71" s="138"/>
      <c r="R71" s="73"/>
      <c r="S71" s="73"/>
      <c r="T71" s="73"/>
      <c r="U71" s="73"/>
      <c r="V71" s="73"/>
    </row>
    <row r="72" spans="1:22">
      <c r="A72" s="91">
        <v>21</v>
      </c>
      <c r="B72" s="137" t="s">
        <v>202</v>
      </c>
      <c r="C72" s="73">
        <f t="shared" si="20"/>
        <v>1000000</v>
      </c>
      <c r="D72" s="73"/>
      <c r="E72" s="73"/>
      <c r="F72" s="73"/>
      <c r="G72" s="73"/>
      <c r="H72" s="73"/>
      <c r="I72" s="73"/>
      <c r="J72" s="269">
        <f>'DTĐV 2019'!N371</f>
        <v>1000000</v>
      </c>
      <c r="K72" s="138"/>
      <c r="L72" s="138"/>
      <c r="M72" s="73"/>
      <c r="N72" s="73"/>
      <c r="O72" s="73"/>
      <c r="P72" s="73">
        <f>'DTĐV 2019'!N371</f>
        <v>1000000</v>
      </c>
      <c r="Q72" s="73"/>
      <c r="R72" s="73"/>
      <c r="S72" s="73"/>
      <c r="T72" s="73"/>
      <c r="U72" s="73"/>
      <c r="V72" s="73"/>
    </row>
    <row r="73" spans="1:22">
      <c r="A73" s="91">
        <v>22</v>
      </c>
      <c r="B73" s="137" t="s">
        <v>203</v>
      </c>
      <c r="C73" s="73">
        <f t="shared" si="20"/>
        <v>40000</v>
      </c>
      <c r="D73" s="73"/>
      <c r="E73" s="73"/>
      <c r="F73" s="73"/>
      <c r="G73" s="73"/>
      <c r="H73" s="73"/>
      <c r="I73" s="73"/>
      <c r="J73" s="269">
        <f>'DTĐV 2019'!N372</f>
        <v>40000</v>
      </c>
      <c r="K73" s="73"/>
      <c r="L73" s="73"/>
      <c r="M73" s="73"/>
      <c r="N73" s="73"/>
      <c r="O73" s="73"/>
      <c r="P73" s="73">
        <f>'DTĐV 2019'!N372</f>
        <v>40000</v>
      </c>
      <c r="Q73" s="73"/>
      <c r="R73" s="73"/>
      <c r="S73" s="73"/>
      <c r="T73" s="73"/>
      <c r="U73" s="73"/>
      <c r="V73" s="138"/>
    </row>
    <row r="74" spans="1:22">
      <c r="A74" s="91">
        <v>33</v>
      </c>
      <c r="B74" s="193" t="s">
        <v>382</v>
      </c>
      <c r="C74" s="73">
        <f t="shared" si="20"/>
        <v>100000</v>
      </c>
      <c r="D74" s="72"/>
      <c r="E74" s="72"/>
      <c r="F74" s="72"/>
      <c r="G74" s="72"/>
      <c r="H74" s="72"/>
      <c r="I74" s="72"/>
      <c r="J74" s="269">
        <f>'DTĐV 2019'!N373</f>
        <v>100000</v>
      </c>
      <c r="K74" s="271"/>
      <c r="L74" s="271"/>
      <c r="M74" s="272"/>
      <c r="N74" s="72"/>
      <c r="O74" s="72"/>
      <c r="P74" s="73">
        <f>'DTĐV 2019'!N373</f>
        <v>100000</v>
      </c>
      <c r="Q74" s="72"/>
      <c r="R74" s="72"/>
      <c r="S74" s="72"/>
      <c r="T74" s="72"/>
      <c r="U74" s="72"/>
      <c r="V74" s="72"/>
    </row>
    <row r="75" spans="1:22">
      <c r="A75" s="91">
        <v>34</v>
      </c>
      <c r="B75" s="193" t="s">
        <v>590</v>
      </c>
      <c r="C75" s="73">
        <f t="shared" si="20"/>
        <v>104000</v>
      </c>
      <c r="D75" s="72"/>
      <c r="E75" s="72"/>
      <c r="F75" s="72"/>
      <c r="G75" s="72"/>
      <c r="H75" s="72"/>
      <c r="I75" s="72"/>
      <c r="J75" s="269">
        <f>'DTĐV 2019'!N374</f>
        <v>104000</v>
      </c>
      <c r="K75" s="72"/>
      <c r="L75" s="72"/>
      <c r="M75" s="103"/>
      <c r="N75" s="72"/>
      <c r="O75" s="72"/>
      <c r="P75" s="73">
        <f>'DTĐV 2019'!N374</f>
        <v>104000</v>
      </c>
      <c r="Q75" s="72"/>
      <c r="R75" s="72"/>
      <c r="S75" s="72"/>
      <c r="T75" s="72"/>
      <c r="U75" s="72"/>
      <c r="V75" s="72"/>
    </row>
    <row r="76" spans="1:22">
      <c r="A76" s="135" t="s">
        <v>25</v>
      </c>
      <c r="B76" s="181" t="s">
        <v>1196</v>
      </c>
      <c r="C76" s="72">
        <f t="shared" si="20"/>
        <v>8263388.3522677422</v>
      </c>
      <c r="D76" s="72"/>
      <c r="E76" s="72"/>
      <c r="F76" s="72"/>
      <c r="G76" s="72"/>
      <c r="H76" s="72"/>
      <c r="I76" s="72"/>
      <c r="J76" s="266">
        <f>J77+J78</f>
        <v>8263388.3522677422</v>
      </c>
      <c r="K76" s="72"/>
      <c r="L76" s="72"/>
      <c r="M76" s="103"/>
      <c r="N76" s="72"/>
      <c r="O76" s="72"/>
      <c r="P76" s="73"/>
      <c r="Q76" s="72"/>
      <c r="R76" s="72"/>
      <c r="S76" s="72">
        <f>S77+S78</f>
        <v>8263388.3522677422</v>
      </c>
      <c r="T76" s="72"/>
      <c r="U76" s="72"/>
      <c r="V76" s="72"/>
    </row>
    <row r="77" spans="1:22">
      <c r="A77" s="91">
        <v>1</v>
      </c>
      <c r="B77" s="193" t="s">
        <v>1197</v>
      </c>
      <c r="C77" s="73">
        <f t="shared" si="20"/>
        <v>476435.53154999996</v>
      </c>
      <c r="D77" s="72"/>
      <c r="E77" s="72"/>
      <c r="F77" s="72"/>
      <c r="G77" s="72"/>
      <c r="H77" s="72"/>
      <c r="I77" s="72"/>
      <c r="J77" s="267">
        <f>SUM(K77:V77)</f>
        <v>476435.53154999996</v>
      </c>
      <c r="K77" s="72"/>
      <c r="L77" s="72"/>
      <c r="M77" s="103"/>
      <c r="N77" s="72"/>
      <c r="O77" s="72"/>
      <c r="P77" s="73"/>
      <c r="Q77" s="72"/>
      <c r="R77" s="72"/>
      <c r="S77" s="73">
        <f>'DTĐV 2019'!N644</f>
        <v>476435.53154999996</v>
      </c>
      <c r="T77" s="72"/>
      <c r="U77" s="72"/>
      <c r="V77" s="72"/>
    </row>
    <row r="78" spans="1:22">
      <c r="A78" s="91">
        <v>2</v>
      </c>
      <c r="B78" s="193" t="s">
        <v>200</v>
      </c>
      <c r="C78" s="73">
        <f t="shared" si="20"/>
        <v>7786952.8207177427</v>
      </c>
      <c r="D78" s="72"/>
      <c r="E78" s="72"/>
      <c r="F78" s="72"/>
      <c r="G78" s="72"/>
      <c r="H78" s="72"/>
      <c r="I78" s="72"/>
      <c r="J78" s="267">
        <f>SUM(K78:V78)</f>
        <v>7786952.8207177427</v>
      </c>
      <c r="K78" s="72"/>
      <c r="L78" s="72"/>
      <c r="M78" s="103"/>
      <c r="N78" s="72"/>
      <c r="O78" s="72"/>
      <c r="P78" s="73"/>
      <c r="Q78" s="72"/>
      <c r="R78" s="72"/>
      <c r="S78" s="73">
        <f>'DTĐV 2019'!N616</f>
        <v>7786952.8207177427</v>
      </c>
      <c r="T78" s="72"/>
      <c r="U78" s="72"/>
      <c r="V78" s="72"/>
    </row>
    <row r="79" spans="1:22">
      <c r="A79" s="135" t="s">
        <v>26</v>
      </c>
      <c r="B79" s="688" t="s">
        <v>204</v>
      </c>
      <c r="C79" s="72">
        <f>SUM(C80:C81)</f>
        <v>2860498</v>
      </c>
      <c r="D79" s="72">
        <f t="shared" ref="D79:I79" si="21">SUM(D80:D81)</f>
        <v>0</v>
      </c>
      <c r="E79" s="72">
        <f t="shared" si="21"/>
        <v>0</v>
      </c>
      <c r="F79" s="72">
        <f t="shared" si="21"/>
        <v>0</v>
      </c>
      <c r="G79" s="72">
        <f t="shared" si="21"/>
        <v>0</v>
      </c>
      <c r="H79" s="72">
        <f t="shared" si="21"/>
        <v>0</v>
      </c>
      <c r="I79" s="72">
        <f t="shared" si="21"/>
        <v>0</v>
      </c>
      <c r="J79" s="268">
        <f>SUM(J80:J81)</f>
        <v>2860498</v>
      </c>
      <c r="K79" s="72">
        <f t="shared" ref="K79" si="22">SUM(K80:K81)</f>
        <v>0</v>
      </c>
      <c r="L79" s="72"/>
      <c r="M79" s="72">
        <f t="shared" ref="M79:P79" si="23">SUM(M80:M81)</f>
        <v>0</v>
      </c>
      <c r="N79" s="72">
        <f t="shared" si="23"/>
        <v>0</v>
      </c>
      <c r="O79" s="72">
        <f t="shared" si="23"/>
        <v>0</v>
      </c>
      <c r="P79" s="72">
        <f t="shared" si="23"/>
        <v>0</v>
      </c>
      <c r="Q79" s="72">
        <f>SUM(Q80:Q81)</f>
        <v>2860498</v>
      </c>
      <c r="R79" s="72">
        <f>SUM(R80:R81)</f>
        <v>0</v>
      </c>
      <c r="S79" s="72"/>
      <c r="T79" s="72"/>
      <c r="U79" s="72"/>
      <c r="V79" s="72">
        <f>SUM(V80:V81)</f>
        <v>0</v>
      </c>
    </row>
    <row r="80" spans="1:22">
      <c r="A80" s="91">
        <v>1</v>
      </c>
      <c r="B80" s="137" t="s">
        <v>263</v>
      </c>
      <c r="C80" s="73">
        <f t="shared" ref="C80" si="24">D80+J80</f>
        <v>1986498</v>
      </c>
      <c r="D80" s="73"/>
      <c r="E80" s="73"/>
      <c r="F80" s="73"/>
      <c r="G80" s="73"/>
      <c r="H80" s="73"/>
      <c r="I80" s="73"/>
      <c r="J80" s="267">
        <f>SUM(K80:V80)</f>
        <v>1986498</v>
      </c>
      <c r="K80" s="73"/>
      <c r="L80" s="73"/>
      <c r="M80" s="73"/>
      <c r="N80" s="73"/>
      <c r="O80" s="73"/>
      <c r="P80" s="73"/>
      <c r="Q80" s="138">
        <f>'DTĐV 2019'!N727</f>
        <v>1986498</v>
      </c>
      <c r="R80" s="73"/>
      <c r="S80" s="73"/>
      <c r="T80" s="73"/>
      <c r="U80" s="73"/>
      <c r="V80" s="73"/>
    </row>
    <row r="81" spans="1:22">
      <c r="A81" s="91">
        <v>2</v>
      </c>
      <c r="B81" s="137" t="s">
        <v>575</v>
      </c>
      <c r="C81" s="73">
        <f>D81+J81</f>
        <v>874000</v>
      </c>
      <c r="D81" s="73"/>
      <c r="E81" s="73"/>
      <c r="F81" s="73"/>
      <c r="G81" s="73"/>
      <c r="H81" s="73"/>
      <c r="I81" s="73"/>
      <c r="J81" s="267">
        <f>SUM(K81:V81)</f>
        <v>874000</v>
      </c>
      <c r="K81" s="73"/>
      <c r="L81" s="73"/>
      <c r="M81" s="73"/>
      <c r="N81" s="142"/>
      <c r="O81" s="142"/>
      <c r="P81" s="142"/>
      <c r="Q81" s="138">
        <f>'DTĐV 2019'!N745</f>
        <v>874000</v>
      </c>
      <c r="R81" s="142"/>
      <c r="S81" s="142"/>
      <c r="T81" s="142"/>
      <c r="U81" s="142"/>
      <c r="V81" s="73"/>
    </row>
    <row r="82" spans="1:22">
      <c r="A82" s="135" t="s">
        <v>357</v>
      </c>
      <c r="B82" s="136" t="s">
        <v>1189</v>
      </c>
      <c r="C82" s="72">
        <f>D82+J82</f>
        <v>4000000</v>
      </c>
      <c r="D82" s="72"/>
      <c r="E82" s="72"/>
      <c r="F82" s="72"/>
      <c r="G82" s="72"/>
      <c r="H82" s="72"/>
      <c r="I82" s="72"/>
      <c r="J82" s="266">
        <f>'DTĐV 2019'!N759</f>
        <v>4000000</v>
      </c>
      <c r="K82" s="72"/>
      <c r="L82" s="72"/>
      <c r="M82" s="72"/>
      <c r="N82" s="144"/>
      <c r="O82" s="144"/>
      <c r="P82" s="144"/>
      <c r="Q82" s="103"/>
      <c r="R82" s="144"/>
      <c r="S82" s="144"/>
      <c r="T82" s="144"/>
      <c r="U82" s="144"/>
      <c r="V82" s="72"/>
    </row>
    <row r="83" spans="1:22" ht="32.25" customHeight="1">
      <c r="A83" s="135" t="s">
        <v>152</v>
      </c>
      <c r="B83" s="136" t="s">
        <v>1192</v>
      </c>
      <c r="C83" s="72">
        <f>D83+J83</f>
        <v>200000</v>
      </c>
      <c r="D83" s="72"/>
      <c r="E83" s="72"/>
      <c r="F83" s="72"/>
      <c r="G83" s="72"/>
      <c r="H83" s="72"/>
      <c r="I83" s="72"/>
      <c r="J83" s="266">
        <f>SUM(K83:V83)</f>
        <v>200000</v>
      </c>
      <c r="K83" s="72"/>
      <c r="L83" s="72"/>
      <c r="M83" s="73"/>
      <c r="N83" s="142"/>
      <c r="O83" s="142"/>
      <c r="P83" s="142"/>
      <c r="Q83" s="138"/>
      <c r="R83" s="142"/>
      <c r="S83" s="142"/>
      <c r="T83" s="142"/>
      <c r="U83" s="142"/>
      <c r="V83" s="72">
        <f>'DTĐV 2019'!N760</f>
        <v>200000</v>
      </c>
    </row>
    <row r="84" spans="1:22">
      <c r="A84" s="135" t="s">
        <v>154</v>
      </c>
      <c r="B84" s="136" t="s">
        <v>188</v>
      </c>
      <c r="C84" s="72">
        <f t="shared" ref="C84:C91" si="25">D84+J84</f>
        <v>1500000</v>
      </c>
      <c r="D84" s="72"/>
      <c r="E84" s="72"/>
      <c r="F84" s="72"/>
      <c r="G84" s="72"/>
      <c r="H84" s="72"/>
      <c r="I84" s="72"/>
      <c r="J84" s="268">
        <f>'DTĐV 2019'!N761</f>
        <v>1500000</v>
      </c>
      <c r="K84" s="72"/>
      <c r="L84" s="72"/>
      <c r="M84" s="72"/>
      <c r="N84" s="143"/>
      <c r="O84" s="143"/>
      <c r="P84" s="143"/>
      <c r="Q84" s="143"/>
      <c r="R84" s="143"/>
      <c r="S84" s="143"/>
      <c r="T84" s="143"/>
      <c r="U84" s="143"/>
      <c r="V84" s="72"/>
    </row>
    <row r="85" spans="1:22">
      <c r="A85" s="135" t="s">
        <v>156</v>
      </c>
      <c r="B85" s="136" t="s">
        <v>576</v>
      </c>
      <c r="C85" s="72">
        <f>D85+J85</f>
        <v>1790400</v>
      </c>
      <c r="D85" s="72"/>
      <c r="E85" s="72"/>
      <c r="F85" s="72"/>
      <c r="G85" s="72"/>
      <c r="H85" s="72"/>
      <c r="I85" s="72"/>
      <c r="J85" s="266">
        <f>SUM(K85:V85)</f>
        <v>1790400</v>
      </c>
      <c r="K85" s="72"/>
      <c r="L85" s="72"/>
      <c r="M85" s="72"/>
      <c r="N85" s="143"/>
      <c r="O85" s="143"/>
      <c r="P85" s="143"/>
      <c r="Q85" s="143"/>
      <c r="R85" s="143"/>
      <c r="S85" s="143"/>
      <c r="T85" s="143"/>
      <c r="U85" s="143"/>
      <c r="V85" s="72">
        <f>'DTĐV 2019'!N762</f>
        <v>1790400</v>
      </c>
    </row>
    <row r="86" spans="1:22">
      <c r="A86" s="135" t="s">
        <v>504</v>
      </c>
      <c r="B86" s="136" t="s">
        <v>1150</v>
      </c>
      <c r="C86" s="72">
        <f>D86+J86</f>
        <v>3420040</v>
      </c>
      <c r="D86" s="72"/>
      <c r="E86" s="72"/>
      <c r="F86" s="72"/>
      <c r="G86" s="72"/>
      <c r="H86" s="72"/>
      <c r="I86" s="72"/>
      <c r="J86" s="266">
        <f>SUM(K86:V86)</f>
        <v>3420040</v>
      </c>
      <c r="K86" s="72"/>
      <c r="L86" s="72"/>
      <c r="M86" s="72"/>
      <c r="N86" s="143"/>
      <c r="O86" s="143"/>
      <c r="P86" s="143"/>
      <c r="Q86" s="143"/>
      <c r="R86" s="143"/>
      <c r="S86" s="143"/>
      <c r="T86" s="143"/>
      <c r="U86" s="143"/>
      <c r="V86" s="72">
        <f>'DTĐV 2019'!N764</f>
        <v>3420040</v>
      </c>
    </row>
    <row r="87" spans="1:22">
      <c r="A87" s="135" t="s">
        <v>527</v>
      </c>
      <c r="B87" s="136" t="s">
        <v>592</v>
      </c>
      <c r="C87" s="72">
        <f t="shared" si="25"/>
        <v>250000</v>
      </c>
      <c r="D87" s="72"/>
      <c r="E87" s="72"/>
      <c r="F87" s="72"/>
      <c r="G87" s="72"/>
      <c r="H87" s="72"/>
      <c r="I87" s="72"/>
      <c r="J87" s="266">
        <f>SUM(K87:V87)</f>
        <v>250000</v>
      </c>
      <c r="K87" s="72"/>
      <c r="L87" s="72"/>
      <c r="M87" s="72"/>
      <c r="N87" s="143"/>
      <c r="O87" s="143"/>
      <c r="P87" s="143"/>
      <c r="Q87" s="143"/>
      <c r="R87" s="143"/>
      <c r="S87" s="143"/>
      <c r="T87" s="143"/>
      <c r="U87" s="143"/>
      <c r="V87" s="72">
        <f>'DTĐV 2019'!N779</f>
        <v>250000</v>
      </c>
    </row>
    <row r="88" spans="1:22">
      <c r="A88" s="327" t="s">
        <v>649</v>
      </c>
      <c r="B88" s="136" t="s">
        <v>217</v>
      </c>
      <c r="C88" s="72">
        <f t="shared" si="25"/>
        <v>40000</v>
      </c>
      <c r="D88" s="72"/>
      <c r="E88" s="72"/>
      <c r="F88" s="72"/>
      <c r="G88" s="72"/>
      <c r="H88" s="72"/>
      <c r="I88" s="72"/>
      <c r="J88" s="266">
        <f>SUM(K88:V88)</f>
        <v>40000</v>
      </c>
      <c r="K88" s="72"/>
      <c r="L88" s="72"/>
      <c r="M88" s="72"/>
      <c r="N88" s="144"/>
      <c r="O88" s="144"/>
      <c r="P88" s="144"/>
      <c r="Q88" s="144"/>
      <c r="R88" s="144"/>
      <c r="S88" s="144"/>
      <c r="T88" s="144"/>
      <c r="U88" s="144"/>
      <c r="V88" s="72">
        <f>'DTĐV 2019'!N778</f>
        <v>40000</v>
      </c>
    </row>
    <row r="89" spans="1:22">
      <c r="A89" s="327" t="s">
        <v>596</v>
      </c>
      <c r="B89" s="136" t="s">
        <v>597</v>
      </c>
      <c r="C89" s="72">
        <f t="shared" si="25"/>
        <v>250000</v>
      </c>
      <c r="D89" s="72"/>
      <c r="E89" s="72"/>
      <c r="F89" s="72"/>
      <c r="G89" s="72"/>
      <c r="H89" s="72"/>
      <c r="I89" s="72"/>
      <c r="J89" s="266">
        <f>SUM(K89:V89)</f>
        <v>250000</v>
      </c>
      <c r="K89" s="72"/>
      <c r="L89" s="72"/>
      <c r="M89" s="72"/>
      <c r="N89" s="144"/>
      <c r="O89" s="144"/>
      <c r="P89" s="144"/>
      <c r="Q89" s="144"/>
      <c r="R89" s="144"/>
      <c r="S89" s="144"/>
      <c r="T89" s="144"/>
      <c r="U89" s="144"/>
      <c r="V89" s="72">
        <f>'DTĐV 2019'!N780</f>
        <v>250000</v>
      </c>
    </row>
    <row r="90" spans="1:22">
      <c r="A90" s="327" t="s">
        <v>66</v>
      </c>
      <c r="B90" s="136" t="s">
        <v>216</v>
      </c>
      <c r="C90" s="72">
        <f t="shared" si="25"/>
        <v>30850000</v>
      </c>
      <c r="D90" s="72">
        <f>E90</f>
        <v>30850000</v>
      </c>
      <c r="E90" s="72">
        <f>F90+I90</f>
        <v>30850000</v>
      </c>
      <c r="F90" s="72">
        <f>'DTĐV 2019'!N777</f>
        <v>30850000</v>
      </c>
      <c r="G90" s="72"/>
      <c r="H90" s="72"/>
      <c r="I90" s="72"/>
      <c r="J90" s="268"/>
      <c r="K90" s="72"/>
      <c r="L90" s="72"/>
      <c r="M90" s="72"/>
      <c r="N90" s="144"/>
      <c r="O90" s="144"/>
      <c r="P90" s="144"/>
      <c r="Q90" s="144"/>
      <c r="R90" s="144"/>
      <c r="S90" s="144"/>
      <c r="T90" s="144"/>
      <c r="U90" s="144"/>
      <c r="V90" s="72"/>
    </row>
    <row r="91" spans="1:22">
      <c r="A91" s="141" t="s">
        <v>67</v>
      </c>
      <c r="B91" s="136" t="s">
        <v>205</v>
      </c>
      <c r="C91" s="72">
        <f t="shared" si="25"/>
        <v>2913000</v>
      </c>
      <c r="D91" s="72"/>
      <c r="E91" s="72"/>
      <c r="F91" s="72"/>
      <c r="G91" s="72"/>
      <c r="H91" s="72"/>
      <c r="I91" s="72"/>
      <c r="J91" s="268">
        <f>SUM(K91:V91)</f>
        <v>2913000</v>
      </c>
      <c r="K91" s="72"/>
      <c r="L91" s="72"/>
      <c r="M91" s="72"/>
      <c r="N91" s="144"/>
      <c r="O91" s="144"/>
      <c r="P91" s="144"/>
      <c r="Q91" s="144"/>
      <c r="R91" s="144"/>
      <c r="S91" s="144"/>
      <c r="T91" s="144">
        <f>'DTĐV 2019'!N776</f>
        <v>2913000</v>
      </c>
      <c r="U91" s="144"/>
      <c r="V91" s="72"/>
    </row>
    <row r="92" spans="1:22">
      <c r="A92" s="92"/>
      <c r="B92" s="135" t="s">
        <v>420</v>
      </c>
      <c r="C92" s="72">
        <f>C8+C26+C29+C31+C51+C79+C83+C84+C85+C87+C88+C89+C91+C76+C90+C23+C82+C86</f>
        <v>246293000.22777274</v>
      </c>
      <c r="D92" s="72">
        <f t="shared" ref="D92:J92" si="26">D8+D26+D29+D31+D51+D79+D83+D84+D85+D87+D88+D89+D91+D76+D90+D23+D82+D86</f>
        <v>30850000</v>
      </c>
      <c r="E92" s="72">
        <f t="shared" si="26"/>
        <v>30850000</v>
      </c>
      <c r="F92" s="72">
        <f t="shared" si="26"/>
        <v>30850000</v>
      </c>
      <c r="G92" s="72">
        <f t="shared" si="26"/>
        <v>0</v>
      </c>
      <c r="H92" s="72">
        <f t="shared" si="26"/>
        <v>0</v>
      </c>
      <c r="I92" s="72">
        <f t="shared" si="26"/>
        <v>0</v>
      </c>
      <c r="J92" s="72">
        <f t="shared" si="26"/>
        <v>215443000.22777274</v>
      </c>
      <c r="K92" s="72">
        <f>K8+K26+K29+K31+K49+K51+K79+K83+K84+K85+K87+K88+K89+K91+K76+K90+K23</f>
        <v>24098009.008800004</v>
      </c>
      <c r="L92" s="72">
        <f t="shared" ref="L92:T92" si="27">L8+L26+L29+L31+L49+L51+L79+L83+L84+L85+L87+L88+L89+L91+L76+L90+L23</f>
        <v>13500000</v>
      </c>
      <c r="M92" s="72">
        <f t="shared" si="27"/>
        <v>112626099.25720499</v>
      </c>
      <c r="N92" s="72">
        <f t="shared" si="27"/>
        <v>2940561.9859999996</v>
      </c>
      <c r="O92" s="72">
        <f t="shared" si="27"/>
        <v>9014612.4845000021</v>
      </c>
      <c r="P92" s="72">
        <f t="shared" si="27"/>
        <v>27776391.139000002</v>
      </c>
      <c r="Q92" s="72">
        <f t="shared" si="27"/>
        <v>2860498</v>
      </c>
      <c r="R92" s="72">
        <f t="shared" si="27"/>
        <v>0</v>
      </c>
      <c r="S92" s="72">
        <f t="shared" si="27"/>
        <v>8263388.3522677422</v>
      </c>
      <c r="T92" s="72">
        <f t="shared" si="27"/>
        <v>2913000</v>
      </c>
      <c r="U92" s="72"/>
      <c r="V92" s="72">
        <f>V8+V26+V29+V31+V49+V51+V79+V83+V84+V85+V87+V88+V89+V91+V76+V90+V23+V82+V86</f>
        <v>5950440</v>
      </c>
    </row>
    <row r="94" spans="1:22">
      <c r="P94" s="1127" t="s">
        <v>1592</v>
      </c>
      <c r="Q94" s="1127"/>
      <c r="R94" s="1127"/>
      <c r="S94" s="1127"/>
      <c r="T94" s="1127"/>
      <c r="U94" s="1127"/>
      <c r="V94" s="1127"/>
    </row>
    <row r="95" spans="1:22">
      <c r="Q95" s="1122" t="s">
        <v>637</v>
      </c>
      <c r="R95" s="1122"/>
      <c r="S95" s="1122"/>
      <c r="T95" s="1122"/>
      <c r="U95" s="750"/>
    </row>
    <row r="96" spans="1:22">
      <c r="Q96" s="1122" t="s">
        <v>638</v>
      </c>
      <c r="R96" s="1122"/>
      <c r="S96" s="1122"/>
      <c r="T96" s="1122"/>
      <c r="U96" s="750"/>
    </row>
    <row r="100" spans="17:21">
      <c r="Q100" s="1122" t="s">
        <v>807</v>
      </c>
      <c r="R100" s="1122"/>
      <c r="S100" s="1122"/>
      <c r="T100" s="1122"/>
      <c r="U100" s="750"/>
    </row>
    <row r="114" spans="1:22">
      <c r="A114" s="1126" t="s">
        <v>1215</v>
      </c>
      <c r="B114" s="1126"/>
      <c r="C114" s="1125" t="s">
        <v>834</v>
      </c>
      <c r="D114" s="1125"/>
      <c r="E114" s="1125"/>
      <c r="F114" s="1125"/>
      <c r="G114" s="1125"/>
      <c r="H114" s="1125"/>
      <c r="I114" s="1125"/>
      <c r="J114" s="1125"/>
      <c r="K114" s="1125"/>
      <c r="L114" s="1125"/>
      <c r="M114" s="1125"/>
      <c r="N114" s="1125"/>
      <c r="O114" s="1125"/>
      <c r="P114" s="1125"/>
      <c r="Q114" s="1125"/>
      <c r="R114" s="1125"/>
      <c r="S114" s="750"/>
      <c r="T114" s="750"/>
      <c r="U114" s="750"/>
      <c r="V114" s="133"/>
    </row>
    <row r="115" spans="1:22">
      <c r="A115" s="1126" t="s">
        <v>1216</v>
      </c>
      <c r="B115" s="1126"/>
      <c r="C115" s="1125" t="s">
        <v>1591</v>
      </c>
      <c r="D115" s="1125"/>
      <c r="E115" s="1125"/>
      <c r="F115" s="1125"/>
      <c r="G115" s="1125"/>
      <c r="H115" s="1125"/>
      <c r="I115" s="1125"/>
      <c r="J115" s="1125"/>
      <c r="K115" s="1125"/>
      <c r="L115" s="1125"/>
      <c r="M115" s="1125"/>
      <c r="N115" s="1125"/>
      <c r="O115" s="1125"/>
      <c r="P115" s="1125"/>
      <c r="Q115" s="1125"/>
      <c r="R115" s="1125"/>
      <c r="S115" s="750"/>
      <c r="T115" s="750"/>
      <c r="U115" s="750"/>
    </row>
    <row r="116" spans="1:22">
      <c r="Q116" s="1127" t="s">
        <v>1198</v>
      </c>
      <c r="R116" s="1127"/>
      <c r="S116" s="1127"/>
      <c r="T116" s="1127"/>
      <c r="U116" s="1127"/>
      <c r="V116" s="1127"/>
    </row>
    <row r="117" spans="1:22" ht="15.75" customHeight="1">
      <c r="A117" s="1128" t="s">
        <v>76</v>
      </c>
      <c r="B117" s="1131" t="s">
        <v>421</v>
      </c>
      <c r="C117" s="1109" t="s">
        <v>1593</v>
      </c>
      <c r="D117" s="1110"/>
      <c r="E117" s="1110"/>
      <c r="F117" s="1110"/>
      <c r="G117" s="1110"/>
      <c r="H117" s="1110"/>
      <c r="I117" s="1110"/>
      <c r="J117" s="1110"/>
      <c r="K117" s="1110"/>
      <c r="L117" s="1110"/>
      <c r="M117" s="1110"/>
      <c r="N117" s="1110"/>
      <c r="O117" s="1110"/>
      <c r="P117" s="1110"/>
      <c r="Q117" s="1110"/>
      <c r="R117" s="1110"/>
      <c r="S117" s="1110"/>
      <c r="T117" s="1110"/>
      <c r="U117" s="1110"/>
      <c r="V117" s="1134"/>
    </row>
    <row r="118" spans="1:22" ht="15.75" customHeight="1">
      <c r="A118" s="1129"/>
      <c r="B118" s="1132"/>
      <c r="C118" s="1118" t="s">
        <v>264</v>
      </c>
      <c r="D118" s="1136" t="s">
        <v>216</v>
      </c>
      <c r="E118" s="1137"/>
      <c r="F118" s="1137"/>
      <c r="G118" s="1137"/>
      <c r="H118" s="1137"/>
      <c r="I118" s="1138"/>
      <c r="J118" s="1123" t="s">
        <v>306</v>
      </c>
      <c r="K118" s="1136" t="s">
        <v>229</v>
      </c>
      <c r="L118" s="1137"/>
      <c r="M118" s="1137"/>
      <c r="N118" s="1137"/>
      <c r="O118" s="1137"/>
      <c r="P118" s="1137"/>
      <c r="Q118" s="1137"/>
      <c r="R118" s="1137"/>
      <c r="S118" s="1137"/>
      <c r="T118" s="1137"/>
      <c r="U118" s="1137"/>
      <c r="V118" s="1138"/>
    </row>
    <row r="119" spans="1:22" ht="15.75" customHeight="1">
      <c r="A119" s="1129"/>
      <c r="B119" s="1132"/>
      <c r="C119" s="1135"/>
      <c r="D119" s="1123" t="s">
        <v>306</v>
      </c>
      <c r="E119" s="1144" t="s">
        <v>383</v>
      </c>
      <c r="F119" s="1145"/>
      <c r="G119" s="1145"/>
      <c r="H119" s="1145"/>
      <c r="I119" s="1146"/>
      <c r="J119" s="1139"/>
      <c r="K119" s="1123" t="s">
        <v>230</v>
      </c>
      <c r="L119" s="1123" t="s">
        <v>587</v>
      </c>
      <c r="M119" s="1123" t="s">
        <v>231</v>
      </c>
      <c r="N119" s="1123" t="s">
        <v>1214</v>
      </c>
      <c r="O119" s="1123" t="s">
        <v>232</v>
      </c>
      <c r="P119" s="1123" t="s">
        <v>593</v>
      </c>
      <c r="Q119" s="1123" t="s">
        <v>557</v>
      </c>
      <c r="R119" s="1123" t="s">
        <v>219</v>
      </c>
      <c r="S119" s="1123" t="s">
        <v>591</v>
      </c>
      <c r="T119" s="1123" t="s">
        <v>647</v>
      </c>
      <c r="U119" s="909"/>
      <c r="V119" s="1123" t="s">
        <v>233</v>
      </c>
    </row>
    <row r="120" spans="1:22" ht="51">
      <c r="A120" s="1130"/>
      <c r="B120" s="1133"/>
      <c r="C120" s="1119"/>
      <c r="D120" s="1124"/>
      <c r="E120" s="913" t="s">
        <v>306</v>
      </c>
      <c r="F120" s="913" t="s">
        <v>384</v>
      </c>
      <c r="G120" s="913" t="s">
        <v>559</v>
      </c>
      <c r="H120" s="913" t="s">
        <v>560</v>
      </c>
      <c r="I120" s="913" t="s">
        <v>385</v>
      </c>
      <c r="J120" s="1124"/>
      <c r="K120" s="1124"/>
      <c r="L120" s="1124"/>
      <c r="M120" s="1124"/>
      <c r="N120" s="1124"/>
      <c r="O120" s="1124"/>
      <c r="P120" s="1124"/>
      <c r="Q120" s="1124"/>
      <c r="R120" s="1124"/>
      <c r="S120" s="1124"/>
      <c r="T120" s="1124"/>
      <c r="U120" s="910"/>
      <c r="V120" s="1124"/>
    </row>
    <row r="121" spans="1:22">
      <c r="A121" s="135" t="s">
        <v>84</v>
      </c>
      <c r="B121" s="136" t="s">
        <v>94</v>
      </c>
      <c r="C121" s="72">
        <f>SUM(C122:C135)</f>
        <v>3720924.3027999997</v>
      </c>
      <c r="D121" s="72">
        <f t="shared" ref="D121:I121" si="28">SUM(D122:D130)</f>
        <v>0</v>
      </c>
      <c r="E121" s="72">
        <f t="shared" si="28"/>
        <v>0</v>
      </c>
      <c r="F121" s="72">
        <f t="shared" si="28"/>
        <v>0</v>
      </c>
      <c r="G121" s="72">
        <f t="shared" si="28"/>
        <v>0</v>
      </c>
      <c r="H121" s="72">
        <f t="shared" si="28"/>
        <v>0</v>
      </c>
      <c r="I121" s="72">
        <f t="shared" si="28"/>
        <v>0</v>
      </c>
      <c r="J121" s="244">
        <f>SUM(J122:J135)</f>
        <v>52149202.138944998</v>
      </c>
      <c r="K121" s="72">
        <f>SUM(K122:K135)</f>
        <v>52149202.138944998</v>
      </c>
      <c r="L121" s="72"/>
      <c r="M121" s="72">
        <f t="shared" ref="M121:R121" si="29">SUM(M122:M130)</f>
        <v>0</v>
      </c>
      <c r="N121" s="72">
        <f t="shared" si="29"/>
        <v>0</v>
      </c>
      <c r="O121" s="72">
        <f t="shared" si="29"/>
        <v>0</v>
      </c>
      <c r="P121" s="72">
        <f t="shared" si="29"/>
        <v>0</v>
      </c>
      <c r="Q121" s="72">
        <f t="shared" si="29"/>
        <v>0</v>
      </c>
      <c r="R121" s="72">
        <f t="shared" si="29"/>
        <v>0</v>
      </c>
      <c r="S121" s="72"/>
      <c r="T121" s="72"/>
      <c r="U121" s="72"/>
      <c r="V121" s="72">
        <f>SUM(V122:V130)</f>
        <v>0</v>
      </c>
    </row>
    <row r="122" spans="1:22">
      <c r="A122" s="91">
        <v>1</v>
      </c>
      <c r="B122" s="137" t="s">
        <v>1188</v>
      </c>
      <c r="C122" s="73"/>
      <c r="D122" s="73">
        <f t="shared" ref="D122:I122" si="30">SUM(D123:D186)</f>
        <v>0</v>
      </c>
      <c r="E122" s="73">
        <f t="shared" si="30"/>
        <v>0</v>
      </c>
      <c r="F122" s="73">
        <f t="shared" si="30"/>
        <v>0</v>
      </c>
      <c r="G122" s="73">
        <f t="shared" si="30"/>
        <v>0</v>
      </c>
      <c r="H122" s="73">
        <f t="shared" si="30"/>
        <v>0</v>
      </c>
      <c r="I122" s="73">
        <f t="shared" si="30"/>
        <v>0</v>
      </c>
      <c r="J122" s="73">
        <f t="shared" ref="J122:J123" si="31">SUM(K122:V122)</f>
        <v>15000</v>
      </c>
      <c r="K122" s="138">
        <f>'DTĐV 2019'!N495</f>
        <v>15000</v>
      </c>
      <c r="L122" s="138"/>
      <c r="M122" s="138"/>
      <c r="N122" s="138"/>
      <c r="O122" s="138"/>
      <c r="P122" s="138"/>
      <c r="Q122" s="138"/>
      <c r="R122" s="138"/>
      <c r="S122" s="138"/>
      <c r="T122" s="138"/>
      <c r="U122" s="138"/>
      <c r="V122" s="138"/>
    </row>
    <row r="123" spans="1:22">
      <c r="A123" s="91">
        <v>2</v>
      </c>
      <c r="B123" s="137" t="s">
        <v>148</v>
      </c>
      <c r="C123" s="73">
        <f t="shared" ref="C123" si="32">D123+J123</f>
        <v>0</v>
      </c>
      <c r="D123" s="73">
        <f>E123</f>
        <v>0</v>
      </c>
      <c r="E123" s="73">
        <f>F123+G123</f>
        <v>0</v>
      </c>
      <c r="F123" s="73"/>
      <c r="G123" s="73"/>
      <c r="H123" s="73"/>
      <c r="I123" s="73"/>
      <c r="J123" s="73">
        <f t="shared" si="31"/>
        <v>0</v>
      </c>
      <c r="K123" s="73"/>
      <c r="L123" s="73"/>
      <c r="M123" s="73"/>
      <c r="N123" s="73"/>
      <c r="O123" s="73"/>
      <c r="P123" s="138"/>
      <c r="Q123" s="73"/>
      <c r="R123" s="73"/>
      <c r="S123" s="73"/>
      <c r="T123" s="73"/>
      <c r="U123" s="73"/>
      <c r="V123" s="73"/>
    </row>
    <row r="124" spans="1:22">
      <c r="A124" s="91"/>
      <c r="B124" s="137" t="s">
        <v>586</v>
      </c>
      <c r="C124" s="73">
        <f>C11</f>
        <v>140000</v>
      </c>
      <c r="D124" s="73"/>
      <c r="E124" s="73"/>
      <c r="F124" s="73"/>
      <c r="G124" s="73"/>
      <c r="H124" s="73"/>
      <c r="I124" s="73"/>
      <c r="J124" s="73">
        <f>SUM(K124:V124)</f>
        <v>14498032.138945</v>
      </c>
      <c r="K124" s="73">
        <f>'DTĐV 2019'!N499+'DTĐV 2019'!N503+'DTĐV 2019'!N507</f>
        <v>14498032.138945</v>
      </c>
      <c r="L124" s="73"/>
      <c r="M124" s="73"/>
      <c r="N124" s="73"/>
      <c r="O124" s="73"/>
      <c r="P124" s="138"/>
      <c r="Q124" s="73"/>
      <c r="R124" s="73"/>
      <c r="S124" s="73"/>
      <c r="T124" s="73"/>
      <c r="U124" s="73"/>
      <c r="V124" s="73"/>
    </row>
    <row r="125" spans="1:22">
      <c r="A125" s="91"/>
      <c r="B125" s="137" t="s">
        <v>581</v>
      </c>
      <c r="C125" s="73">
        <f>C12</f>
        <v>80000</v>
      </c>
      <c r="D125" s="73"/>
      <c r="E125" s="73"/>
      <c r="F125" s="73"/>
      <c r="G125" s="73"/>
      <c r="H125" s="73"/>
      <c r="I125" s="73"/>
      <c r="J125" s="73">
        <f t="shared" ref="J125:J129" si="33">SUM(K125:V125)</f>
        <v>2500</v>
      </c>
      <c r="K125" s="73">
        <f>'DTĐV 2019'!N511</f>
        <v>2500</v>
      </c>
      <c r="L125" s="73"/>
      <c r="M125" s="73"/>
      <c r="N125" s="73"/>
      <c r="O125" s="73"/>
      <c r="P125" s="138"/>
      <c r="Q125" s="73"/>
      <c r="R125" s="73"/>
      <c r="S125" s="73"/>
      <c r="T125" s="73"/>
      <c r="U125" s="73"/>
      <c r="V125" s="73"/>
    </row>
    <row r="126" spans="1:22">
      <c r="A126" s="91">
        <v>3</v>
      </c>
      <c r="B126" s="137" t="s">
        <v>810</v>
      </c>
      <c r="C126" s="73">
        <f>C13</f>
        <v>78000</v>
      </c>
      <c r="D126" s="73"/>
      <c r="E126" s="73"/>
      <c r="F126" s="73"/>
      <c r="G126" s="73"/>
      <c r="H126" s="73"/>
      <c r="I126" s="73"/>
      <c r="J126" s="73">
        <f t="shared" si="33"/>
        <v>0</v>
      </c>
      <c r="K126" s="138">
        <f>'DTĐV 2019'!N519</f>
        <v>0</v>
      </c>
      <c r="L126" s="138"/>
      <c r="M126" s="73"/>
      <c r="N126" s="73"/>
      <c r="O126" s="73"/>
      <c r="P126" s="73"/>
      <c r="Q126" s="73"/>
      <c r="R126" s="73"/>
      <c r="S126" s="73"/>
      <c r="T126" s="73"/>
      <c r="U126" s="73"/>
      <c r="V126" s="73"/>
    </row>
    <row r="127" spans="1:22">
      <c r="A127" s="91">
        <v>4</v>
      </c>
      <c r="B127" s="137" t="s">
        <v>671</v>
      </c>
      <c r="C127" s="73">
        <f>C14+14000</f>
        <v>386000</v>
      </c>
      <c r="D127" s="73"/>
      <c r="E127" s="73"/>
      <c r="F127" s="73"/>
      <c r="G127" s="73"/>
      <c r="H127" s="73"/>
      <c r="I127" s="73"/>
      <c r="J127" s="73">
        <f t="shared" si="33"/>
        <v>36700000</v>
      </c>
      <c r="K127" s="138">
        <f>'DTĐV 2019'!N527</f>
        <v>36700000</v>
      </c>
      <c r="L127" s="138"/>
      <c r="M127" s="73"/>
      <c r="N127" s="73"/>
      <c r="O127" s="73"/>
      <c r="P127" s="73"/>
      <c r="Q127" s="73"/>
      <c r="R127" s="73"/>
      <c r="S127" s="73"/>
      <c r="T127" s="73"/>
      <c r="U127" s="73"/>
      <c r="V127" s="73"/>
    </row>
    <row r="128" spans="1:22">
      <c r="A128" s="91">
        <v>5</v>
      </c>
      <c r="B128" s="137" t="s">
        <v>672</v>
      </c>
      <c r="C128" s="73">
        <f>C15</f>
        <v>1775990.6162999999</v>
      </c>
      <c r="D128" s="73"/>
      <c r="E128" s="73"/>
      <c r="F128" s="73"/>
      <c r="G128" s="73"/>
      <c r="H128" s="73"/>
      <c r="I128" s="73"/>
      <c r="J128" s="73">
        <f t="shared" si="33"/>
        <v>710700</v>
      </c>
      <c r="K128" s="73">
        <f>'DTĐV 2019'!N542</f>
        <v>710700</v>
      </c>
      <c r="L128" s="73"/>
      <c r="M128" s="73"/>
      <c r="N128" s="73"/>
      <c r="O128" s="73"/>
      <c r="P128" s="138"/>
      <c r="Q128" s="73"/>
      <c r="R128" s="73"/>
      <c r="S128" s="73"/>
      <c r="T128" s="73"/>
      <c r="U128" s="73"/>
      <c r="V128" s="73"/>
    </row>
    <row r="129" spans="1:22">
      <c r="A129" s="91">
        <v>6</v>
      </c>
      <c r="B129" s="137" t="s">
        <v>599</v>
      </c>
      <c r="C129" s="73">
        <f>C16</f>
        <v>950933.68650000007</v>
      </c>
      <c r="D129" s="73"/>
      <c r="E129" s="73"/>
      <c r="F129" s="73"/>
      <c r="G129" s="73"/>
      <c r="H129" s="73"/>
      <c r="I129" s="73"/>
      <c r="J129" s="73">
        <f t="shared" si="33"/>
        <v>62000</v>
      </c>
      <c r="K129" s="138">
        <f>'DTĐV 2019'!N566</f>
        <v>62000</v>
      </c>
      <c r="L129" s="138"/>
      <c r="M129" s="73"/>
      <c r="N129" s="73"/>
      <c r="O129" s="73"/>
      <c r="P129" s="73"/>
      <c r="Q129" s="73"/>
      <c r="R129" s="73"/>
      <c r="S129" s="73"/>
      <c r="T129" s="73"/>
      <c r="U129" s="73"/>
      <c r="V129" s="73"/>
    </row>
    <row r="130" spans="1:22">
      <c r="A130" s="91">
        <v>7</v>
      </c>
      <c r="B130" s="137" t="s">
        <v>218</v>
      </c>
      <c r="C130" s="73">
        <v>100000</v>
      </c>
      <c r="D130" s="73"/>
      <c r="E130" s="73"/>
      <c r="F130" s="73"/>
      <c r="G130" s="73"/>
      <c r="H130" s="73"/>
      <c r="I130" s="73"/>
      <c r="J130" s="73">
        <f t="shared" ref="J130:J135" si="34">SUM(K130:V130)</f>
        <v>25000</v>
      </c>
      <c r="K130" s="138">
        <f>'DTĐV 2019'!N585</f>
        <v>25000</v>
      </c>
      <c r="L130" s="138"/>
      <c r="M130" s="73"/>
      <c r="N130" s="73"/>
      <c r="O130" s="73"/>
      <c r="P130" s="73"/>
      <c r="Q130" s="73"/>
      <c r="R130" s="73"/>
      <c r="S130" s="73"/>
      <c r="T130" s="73"/>
      <c r="U130" s="73"/>
      <c r="V130" s="73"/>
    </row>
    <row r="131" spans="1:22">
      <c r="A131" s="91">
        <v>8</v>
      </c>
      <c r="B131" s="137" t="s">
        <v>213</v>
      </c>
      <c r="C131" s="73">
        <v>100000</v>
      </c>
      <c r="D131" s="73"/>
      <c r="E131" s="73"/>
      <c r="F131" s="73"/>
      <c r="G131" s="73"/>
      <c r="H131" s="73"/>
      <c r="I131" s="73"/>
      <c r="J131" s="73">
        <f t="shared" si="34"/>
        <v>50000</v>
      </c>
      <c r="K131" s="138">
        <f>'DTĐV 2019'!N516</f>
        <v>50000</v>
      </c>
      <c r="L131" s="138"/>
      <c r="M131" s="73"/>
      <c r="N131" s="73"/>
      <c r="O131" s="73"/>
      <c r="P131" s="73"/>
      <c r="Q131" s="73"/>
      <c r="R131" s="73"/>
      <c r="S131" s="73"/>
      <c r="T131" s="73"/>
      <c r="U131" s="73"/>
      <c r="V131" s="73"/>
    </row>
    <row r="132" spans="1:22">
      <c r="A132" s="91">
        <v>9</v>
      </c>
      <c r="B132" s="137" t="s">
        <v>447</v>
      </c>
      <c r="C132" s="73"/>
      <c r="D132" s="73"/>
      <c r="E132" s="73"/>
      <c r="F132" s="73"/>
      <c r="G132" s="73"/>
      <c r="H132" s="73"/>
      <c r="I132" s="73"/>
      <c r="J132" s="73">
        <f t="shared" si="34"/>
        <v>54120</v>
      </c>
      <c r="K132" s="138">
        <f>'DTĐV 2019'!N517</f>
        <v>54120</v>
      </c>
      <c r="L132" s="138"/>
      <c r="M132" s="73"/>
      <c r="N132" s="73"/>
      <c r="O132" s="73"/>
      <c r="P132" s="73"/>
      <c r="Q132" s="73"/>
      <c r="R132" s="73"/>
      <c r="S132" s="73"/>
      <c r="T132" s="73"/>
      <c r="U132" s="73"/>
      <c r="V132" s="73"/>
    </row>
    <row r="133" spans="1:22">
      <c r="A133" s="91">
        <v>10</v>
      </c>
      <c r="B133" s="137" t="s">
        <v>518</v>
      </c>
      <c r="C133" s="73"/>
      <c r="D133" s="73"/>
      <c r="E133" s="73"/>
      <c r="F133" s="73"/>
      <c r="G133" s="73"/>
      <c r="H133" s="73"/>
      <c r="I133" s="73"/>
      <c r="J133" s="73">
        <f t="shared" si="34"/>
        <v>22250</v>
      </c>
      <c r="K133" s="138">
        <f>'DTĐV 2019'!N518</f>
        <v>22250</v>
      </c>
      <c r="L133" s="138"/>
      <c r="M133" s="73"/>
      <c r="N133" s="73"/>
      <c r="O133" s="73"/>
      <c r="P133" s="73"/>
      <c r="Q133" s="73"/>
      <c r="R133" s="73"/>
      <c r="S133" s="73"/>
      <c r="T133" s="73"/>
      <c r="U133" s="73"/>
      <c r="V133" s="73"/>
    </row>
    <row r="134" spans="1:22">
      <c r="A134" s="91">
        <v>11</v>
      </c>
      <c r="B134" s="137" t="s">
        <v>677</v>
      </c>
      <c r="C134" s="73">
        <f>C21</f>
        <v>60000</v>
      </c>
      <c r="D134" s="73"/>
      <c r="E134" s="73"/>
      <c r="F134" s="73"/>
      <c r="G134" s="73"/>
      <c r="H134" s="73"/>
      <c r="I134" s="73"/>
      <c r="J134" s="73">
        <f t="shared" si="34"/>
        <v>9600</v>
      </c>
      <c r="K134" s="138">
        <f>'DTĐV 2019'!O604</f>
        <v>9600</v>
      </c>
      <c r="L134" s="138"/>
      <c r="M134" s="73"/>
      <c r="N134" s="73"/>
      <c r="O134" s="73"/>
      <c r="P134" s="73"/>
      <c r="Q134" s="73"/>
      <c r="R134" s="73"/>
      <c r="S134" s="73"/>
      <c r="T134" s="73"/>
      <c r="U134" s="73"/>
      <c r="V134" s="73"/>
    </row>
    <row r="135" spans="1:22">
      <c r="A135" s="91">
        <v>12</v>
      </c>
      <c r="B135" s="137" t="s">
        <v>196</v>
      </c>
      <c r="C135" s="73">
        <f>C22</f>
        <v>50000</v>
      </c>
      <c r="D135" s="73"/>
      <c r="E135" s="73"/>
      <c r="F135" s="73"/>
      <c r="G135" s="73"/>
      <c r="H135" s="73"/>
      <c r="I135" s="73"/>
      <c r="J135" s="73">
        <f t="shared" si="34"/>
        <v>0</v>
      </c>
      <c r="K135" s="138">
        <f>'DTĐV 2019'!N603</f>
        <v>0</v>
      </c>
      <c r="L135" s="138"/>
      <c r="M135" s="73"/>
      <c r="N135" s="73"/>
      <c r="O135" s="73"/>
      <c r="P135" s="73"/>
      <c r="Q135" s="73"/>
      <c r="R135" s="73"/>
      <c r="S135" s="73"/>
      <c r="T135" s="73"/>
      <c r="U135" s="73"/>
      <c r="V135" s="73"/>
    </row>
    <row r="136" spans="1:22">
      <c r="A136" s="135" t="s">
        <v>85</v>
      </c>
      <c r="B136" s="136" t="s">
        <v>579</v>
      </c>
      <c r="C136" s="72">
        <f>C137+C138</f>
        <v>14000000</v>
      </c>
      <c r="D136" s="73"/>
      <c r="E136" s="73"/>
      <c r="F136" s="73"/>
      <c r="G136" s="73"/>
      <c r="H136" s="73"/>
      <c r="I136" s="73"/>
      <c r="J136" s="103">
        <f>J137+J138</f>
        <v>14000000</v>
      </c>
      <c r="K136" s="138"/>
      <c r="L136" s="103">
        <f>L137+L138</f>
        <v>14000000</v>
      </c>
      <c r="M136" s="73"/>
      <c r="N136" s="73"/>
      <c r="O136" s="73"/>
      <c r="P136" s="73"/>
      <c r="Q136" s="73"/>
      <c r="R136" s="73"/>
      <c r="S136" s="73"/>
      <c r="T136" s="73"/>
      <c r="U136" s="73"/>
      <c r="V136" s="73"/>
    </row>
    <row r="137" spans="1:22" ht="31.5">
      <c r="A137" s="344">
        <v>1</v>
      </c>
      <c r="B137" s="574" t="s">
        <v>1015</v>
      </c>
      <c r="C137" s="73">
        <f t="shared" ref="C137" si="35">D137+J137</f>
        <v>13500000</v>
      </c>
      <c r="D137" s="73"/>
      <c r="E137" s="73"/>
      <c r="F137" s="73"/>
      <c r="G137" s="73"/>
      <c r="H137" s="73"/>
      <c r="I137" s="73"/>
      <c r="J137" s="73">
        <f>SUM(K137:V137)</f>
        <v>13500000</v>
      </c>
      <c r="K137" s="138"/>
      <c r="L137" s="138">
        <v>13500000</v>
      </c>
      <c r="M137" s="73"/>
      <c r="N137" s="73"/>
      <c r="O137" s="73"/>
      <c r="P137" s="73"/>
      <c r="Q137" s="73"/>
      <c r="R137" s="73"/>
      <c r="S137" s="73"/>
      <c r="T137" s="73"/>
      <c r="U137" s="73"/>
      <c r="V137" s="73"/>
    </row>
    <row r="138" spans="1:22">
      <c r="A138" s="344">
        <v>2</v>
      </c>
      <c r="B138" s="390" t="s">
        <v>1148</v>
      </c>
      <c r="C138" s="73">
        <f>D138+J138</f>
        <v>500000</v>
      </c>
      <c r="D138" s="73"/>
      <c r="E138" s="73"/>
      <c r="F138" s="73"/>
      <c r="G138" s="73"/>
      <c r="H138" s="73"/>
      <c r="I138" s="73"/>
      <c r="J138" s="73">
        <f>SUM(K138:V138)</f>
        <v>500000</v>
      </c>
      <c r="K138" s="138"/>
      <c r="L138" s="138">
        <v>500000</v>
      </c>
      <c r="M138" s="73"/>
      <c r="N138" s="73"/>
      <c r="O138" s="73"/>
      <c r="P138" s="73"/>
      <c r="Q138" s="73"/>
      <c r="R138" s="73"/>
      <c r="S138" s="73"/>
      <c r="T138" s="73"/>
      <c r="U138" s="73"/>
      <c r="V138" s="73"/>
    </row>
    <row r="139" spans="1:22">
      <c r="A139" s="135" t="s">
        <v>565</v>
      </c>
      <c r="B139" s="136" t="s">
        <v>600</v>
      </c>
      <c r="C139" s="72">
        <f>SUM(C140:C141)</f>
        <v>76707584</v>
      </c>
      <c r="D139" s="72">
        <f t="shared" ref="D139:K139" si="36">SUM(D140:D141)</f>
        <v>0</v>
      </c>
      <c r="E139" s="72">
        <f t="shared" si="36"/>
        <v>0</v>
      </c>
      <c r="F139" s="72">
        <f t="shared" si="36"/>
        <v>0</v>
      </c>
      <c r="G139" s="72">
        <f t="shared" si="36"/>
        <v>0</v>
      </c>
      <c r="H139" s="72">
        <f t="shared" si="36"/>
        <v>0</v>
      </c>
      <c r="I139" s="72">
        <f t="shared" si="36"/>
        <v>0</v>
      </c>
      <c r="J139" s="266">
        <f t="shared" si="36"/>
        <v>76707584</v>
      </c>
      <c r="K139" s="72">
        <f t="shared" si="36"/>
        <v>0</v>
      </c>
      <c r="L139" s="72"/>
      <c r="M139" s="72">
        <f t="shared" ref="M139:R139" si="37">SUM(M140:M141)</f>
        <v>76707584</v>
      </c>
      <c r="N139" s="72">
        <f t="shared" si="37"/>
        <v>0</v>
      </c>
      <c r="O139" s="72">
        <f t="shared" si="37"/>
        <v>0</v>
      </c>
      <c r="P139" s="72">
        <f t="shared" si="37"/>
        <v>0</v>
      </c>
      <c r="Q139" s="72">
        <f t="shared" si="37"/>
        <v>0</v>
      </c>
      <c r="R139" s="72">
        <f t="shared" si="37"/>
        <v>0</v>
      </c>
      <c r="S139" s="72"/>
      <c r="T139" s="72"/>
      <c r="U139" s="72"/>
      <c r="V139" s="72">
        <f>SUM(V140:V141)</f>
        <v>0</v>
      </c>
    </row>
    <row r="140" spans="1:22">
      <c r="A140" s="91">
        <v>1</v>
      </c>
      <c r="B140" s="137" t="s">
        <v>309</v>
      </c>
      <c r="C140" s="73">
        <f>D140+J140</f>
        <v>1520099</v>
      </c>
      <c r="D140" s="73">
        <f>E140</f>
        <v>0</v>
      </c>
      <c r="E140" s="73">
        <f>F140+G140</f>
        <v>0</v>
      </c>
      <c r="F140" s="73"/>
      <c r="G140" s="73"/>
      <c r="H140" s="73"/>
      <c r="I140" s="73"/>
      <c r="J140" s="267">
        <f>SUM(K140:V140)</f>
        <v>1520099</v>
      </c>
      <c r="K140" s="73"/>
      <c r="L140" s="73"/>
      <c r="M140" s="73">
        <v>1520099</v>
      </c>
      <c r="N140" s="73"/>
      <c r="O140" s="73"/>
      <c r="P140" s="138"/>
      <c r="Q140" s="73"/>
      <c r="R140" s="73"/>
      <c r="S140" s="73"/>
      <c r="T140" s="73"/>
      <c r="U140" s="73"/>
      <c r="V140" s="73"/>
    </row>
    <row r="141" spans="1:22">
      <c r="A141" s="91">
        <v>2</v>
      </c>
      <c r="B141" s="137" t="s">
        <v>1149</v>
      </c>
      <c r="C141" s="73">
        <f>D141+J141</f>
        <v>75187485</v>
      </c>
      <c r="D141" s="73"/>
      <c r="E141" s="73"/>
      <c r="F141" s="73"/>
      <c r="G141" s="73"/>
      <c r="H141" s="73"/>
      <c r="I141" s="73"/>
      <c r="J141" s="267">
        <f>SUM(K141:V141)</f>
        <v>75187485</v>
      </c>
      <c r="K141" s="73"/>
      <c r="L141" s="73"/>
      <c r="M141" s="73">
        <v>75187485</v>
      </c>
      <c r="N141" s="73"/>
      <c r="O141" s="73"/>
      <c r="P141" s="73"/>
      <c r="Q141" s="73"/>
      <c r="R141" s="73"/>
      <c r="S141" s="73"/>
      <c r="T141" s="73"/>
      <c r="U141" s="73"/>
      <c r="V141" s="73"/>
    </row>
    <row r="142" spans="1:22">
      <c r="A142" s="135" t="s">
        <v>562</v>
      </c>
      <c r="B142" s="136" t="s">
        <v>1193</v>
      </c>
      <c r="C142" s="72">
        <f>C143</f>
        <v>5940562</v>
      </c>
      <c r="D142" s="72">
        <f t="shared" ref="D142:V142" si="38">D143</f>
        <v>0</v>
      </c>
      <c r="E142" s="72">
        <f t="shared" si="38"/>
        <v>0</v>
      </c>
      <c r="F142" s="72">
        <f t="shared" si="38"/>
        <v>0</v>
      </c>
      <c r="G142" s="72">
        <f t="shared" si="38"/>
        <v>0</v>
      </c>
      <c r="H142" s="72">
        <f t="shared" si="38"/>
        <v>0</v>
      </c>
      <c r="I142" s="72">
        <f t="shared" si="38"/>
        <v>0</v>
      </c>
      <c r="J142" s="268">
        <f>J143</f>
        <v>5940562</v>
      </c>
      <c r="K142" s="72">
        <f t="shared" si="38"/>
        <v>0</v>
      </c>
      <c r="L142" s="72"/>
      <c r="M142" s="72">
        <f t="shared" si="38"/>
        <v>0</v>
      </c>
      <c r="N142" s="72">
        <f>N143</f>
        <v>5940562</v>
      </c>
      <c r="O142" s="72">
        <f t="shared" si="38"/>
        <v>0</v>
      </c>
      <c r="P142" s="72">
        <f t="shared" si="38"/>
        <v>0</v>
      </c>
      <c r="Q142" s="72">
        <f t="shared" si="38"/>
        <v>0</v>
      </c>
      <c r="R142" s="72">
        <f t="shared" si="38"/>
        <v>0</v>
      </c>
      <c r="S142" s="72"/>
      <c r="T142" s="72"/>
      <c r="U142" s="72"/>
      <c r="V142" s="72">
        <f t="shared" si="38"/>
        <v>0</v>
      </c>
    </row>
    <row r="143" spans="1:22">
      <c r="A143" s="91">
        <v>1</v>
      </c>
      <c r="B143" s="137" t="s">
        <v>1194</v>
      </c>
      <c r="C143" s="73">
        <f>D143+J143</f>
        <v>5940562</v>
      </c>
      <c r="D143" s="73">
        <f>E143</f>
        <v>0</v>
      </c>
      <c r="E143" s="73">
        <f>F143+G143</f>
        <v>0</v>
      </c>
      <c r="F143" s="73"/>
      <c r="G143" s="73"/>
      <c r="H143" s="73"/>
      <c r="I143" s="73"/>
      <c r="J143" s="269">
        <f>SUM(K143:V143)</f>
        <v>5940562</v>
      </c>
      <c r="K143" s="73"/>
      <c r="L143" s="73"/>
      <c r="M143" s="73"/>
      <c r="N143" s="73">
        <f>5641562+299000</f>
        <v>5940562</v>
      </c>
      <c r="O143" s="73"/>
      <c r="P143" s="138"/>
      <c r="Q143" s="73"/>
      <c r="R143" s="73"/>
      <c r="S143" s="73"/>
      <c r="T143" s="73"/>
      <c r="U143" s="73"/>
      <c r="V143" s="73"/>
    </row>
    <row r="144" spans="1:22">
      <c r="A144" s="135" t="s">
        <v>289</v>
      </c>
      <c r="B144" s="136" t="s">
        <v>232</v>
      </c>
      <c r="C144" s="72">
        <f>SUM(C145:C161)</f>
        <v>37723040</v>
      </c>
      <c r="D144" s="72">
        <f t="shared" ref="D144:I144" si="39">SUM(D145:D161)</f>
        <v>0</v>
      </c>
      <c r="E144" s="72">
        <f t="shared" si="39"/>
        <v>0</v>
      </c>
      <c r="F144" s="72">
        <f t="shared" si="39"/>
        <v>0</v>
      </c>
      <c r="G144" s="72">
        <f t="shared" si="39"/>
        <v>0</v>
      </c>
      <c r="H144" s="72">
        <f t="shared" si="39"/>
        <v>0</v>
      </c>
      <c r="I144" s="72">
        <f t="shared" si="39"/>
        <v>0</v>
      </c>
      <c r="J144" s="72">
        <f>SUM(J145:J161)</f>
        <v>37723040</v>
      </c>
      <c r="K144" s="72">
        <f t="shared" ref="K144:N144" si="40">SUM(K145:K161)</f>
        <v>0</v>
      </c>
      <c r="L144" s="72">
        <f t="shared" si="40"/>
        <v>0</v>
      </c>
      <c r="M144" s="72">
        <f t="shared" si="40"/>
        <v>0</v>
      </c>
      <c r="N144" s="72">
        <f t="shared" si="40"/>
        <v>0</v>
      </c>
      <c r="O144" s="72">
        <f>SUM(O145:O161)</f>
        <v>37723040</v>
      </c>
      <c r="P144" s="72">
        <f t="shared" ref="P144:Q144" si="41">SUM(P145:P161)</f>
        <v>0</v>
      </c>
      <c r="Q144" s="72">
        <f t="shared" si="41"/>
        <v>0</v>
      </c>
      <c r="R144" s="72">
        <f>SUM(R145:R148)</f>
        <v>0</v>
      </c>
      <c r="S144" s="72"/>
      <c r="T144" s="72"/>
      <c r="U144" s="72"/>
      <c r="V144" s="72">
        <f>SUM(V145:V148)</f>
        <v>0</v>
      </c>
    </row>
    <row r="145" spans="1:22">
      <c r="A145" s="91">
        <v>1</v>
      </c>
      <c r="B145" s="137" t="s">
        <v>601</v>
      </c>
      <c r="C145" s="73">
        <f>D145+J145</f>
        <v>3420040</v>
      </c>
      <c r="D145" s="73"/>
      <c r="E145" s="73"/>
      <c r="F145" s="73"/>
      <c r="G145" s="73"/>
      <c r="H145" s="73"/>
      <c r="I145" s="73"/>
      <c r="J145" s="270">
        <f>SUM(K145:V145)</f>
        <v>3420040</v>
      </c>
      <c r="K145" s="73"/>
      <c r="L145" s="73"/>
      <c r="M145" s="73"/>
      <c r="N145" s="73"/>
      <c r="O145" s="73">
        <f>'DTĐV 2019'!N764</f>
        <v>3420040</v>
      </c>
      <c r="P145" s="138"/>
      <c r="Q145" s="73"/>
      <c r="R145" s="73"/>
      <c r="S145" s="73"/>
      <c r="T145" s="73"/>
      <c r="U145" s="73"/>
      <c r="V145" s="73"/>
    </row>
    <row r="146" spans="1:22">
      <c r="A146" s="91">
        <v>2</v>
      </c>
      <c r="B146" s="137" t="s">
        <v>577</v>
      </c>
      <c r="C146" s="73">
        <f>D146+J146</f>
        <v>300000</v>
      </c>
      <c r="D146" s="73">
        <f>E146</f>
        <v>0</v>
      </c>
      <c r="E146" s="73">
        <f>F146+G146</f>
        <v>0</v>
      </c>
      <c r="F146" s="73"/>
      <c r="G146" s="73"/>
      <c r="H146" s="73"/>
      <c r="I146" s="73"/>
      <c r="J146" s="270">
        <f>SUM(K146:V146)</f>
        <v>300000</v>
      </c>
      <c r="K146" s="73"/>
      <c r="L146" s="73"/>
      <c r="M146" s="73"/>
      <c r="N146" s="73"/>
      <c r="O146" s="73">
        <f>'DTĐV 2019'!N773</f>
        <v>300000</v>
      </c>
      <c r="P146" s="138"/>
      <c r="Q146" s="73"/>
      <c r="R146" s="73"/>
      <c r="S146" s="73"/>
      <c r="T146" s="73"/>
      <c r="U146" s="73"/>
      <c r="V146" s="73"/>
    </row>
    <row r="147" spans="1:22">
      <c r="A147" s="91">
        <v>3</v>
      </c>
      <c r="B147" s="137" t="s">
        <v>573</v>
      </c>
      <c r="C147" s="73">
        <f>D147+J147</f>
        <v>200000</v>
      </c>
      <c r="D147" s="73">
        <f>E147</f>
        <v>0</v>
      </c>
      <c r="E147" s="73">
        <f>F147+G147</f>
        <v>0</v>
      </c>
      <c r="F147" s="73"/>
      <c r="G147" s="73"/>
      <c r="H147" s="73"/>
      <c r="I147" s="73"/>
      <c r="J147" s="270">
        <f>SUM(K147:V147)</f>
        <v>200000</v>
      </c>
      <c r="K147" s="73"/>
      <c r="L147" s="73"/>
      <c r="M147" s="73"/>
      <c r="N147" s="73"/>
      <c r="O147" s="73">
        <f>'DTĐV 2019'!N775</f>
        <v>200000</v>
      </c>
      <c r="P147" s="138"/>
      <c r="Q147" s="73"/>
      <c r="R147" s="73"/>
      <c r="S147" s="73"/>
      <c r="T147" s="73"/>
      <c r="U147" s="73"/>
      <c r="V147" s="73"/>
    </row>
    <row r="148" spans="1:22">
      <c r="A148" s="91">
        <v>4</v>
      </c>
      <c r="B148" s="137" t="s">
        <v>602</v>
      </c>
      <c r="C148" s="73">
        <f>D148+J148</f>
        <v>2913000</v>
      </c>
      <c r="D148" s="73"/>
      <c r="E148" s="73"/>
      <c r="F148" s="73"/>
      <c r="G148" s="73"/>
      <c r="H148" s="73"/>
      <c r="I148" s="73"/>
      <c r="J148" s="270">
        <f>SUM(K148:V148)</f>
        <v>2913000</v>
      </c>
      <c r="K148" s="73"/>
      <c r="L148" s="73"/>
      <c r="M148" s="73"/>
      <c r="N148" s="73"/>
      <c r="O148" s="73">
        <f>'DTĐV 2019'!N776</f>
        <v>2913000</v>
      </c>
      <c r="P148" s="138"/>
      <c r="Q148" s="73"/>
      <c r="R148" s="73"/>
      <c r="S148" s="73"/>
      <c r="T148" s="73"/>
      <c r="U148" s="73"/>
      <c r="V148" s="73"/>
    </row>
    <row r="149" spans="1:22" ht="31.5">
      <c r="A149" s="91">
        <v>5</v>
      </c>
      <c r="B149" s="680" t="s">
        <v>537</v>
      </c>
      <c r="C149" s="73">
        <f>D149+J149</f>
        <v>30850000</v>
      </c>
      <c r="D149" s="73"/>
      <c r="E149" s="73"/>
      <c r="F149" s="73"/>
      <c r="G149" s="73"/>
      <c r="H149" s="73"/>
      <c r="I149" s="73"/>
      <c r="J149" s="270">
        <f>SUM(K149:V149)</f>
        <v>30850000</v>
      </c>
      <c r="K149" s="73"/>
      <c r="L149" s="73"/>
      <c r="M149" s="73"/>
      <c r="N149" s="73"/>
      <c r="O149" s="73">
        <f>'DTĐV 2019'!N777</f>
        <v>30850000</v>
      </c>
      <c r="P149" s="138"/>
      <c r="Q149" s="73"/>
      <c r="R149" s="73"/>
      <c r="S149" s="73"/>
      <c r="T149" s="73"/>
      <c r="U149" s="73"/>
      <c r="V149" s="73"/>
    </row>
    <row r="150" spans="1:22">
      <c r="A150" s="91">
        <v>6</v>
      </c>
      <c r="B150" s="137" t="s">
        <v>221</v>
      </c>
      <c r="C150" s="73">
        <f t="shared" ref="C150" si="42">D150+J150</f>
        <v>40000</v>
      </c>
      <c r="D150" s="73"/>
      <c r="E150" s="73"/>
      <c r="F150" s="73"/>
      <c r="G150" s="73"/>
      <c r="H150" s="73"/>
      <c r="I150" s="73"/>
      <c r="J150" s="270">
        <f t="shared" ref="J150:J152" si="43">SUM(K150:V150)</f>
        <v>40000</v>
      </c>
      <c r="K150" s="73"/>
      <c r="L150" s="73"/>
      <c r="M150" s="73"/>
      <c r="N150" s="73"/>
      <c r="O150" s="73">
        <f>'DTĐV 2019'!N778</f>
        <v>40000</v>
      </c>
      <c r="P150" s="138"/>
      <c r="Q150" s="73"/>
      <c r="R150" s="73"/>
      <c r="S150" s="73"/>
      <c r="T150" s="73"/>
      <c r="U150" s="73"/>
      <c r="V150" s="73"/>
    </row>
    <row r="151" spans="1:22">
      <c r="A151" s="91">
        <v>7</v>
      </c>
      <c r="B151" s="137" t="s">
        <v>353</v>
      </c>
      <c r="C151" s="73">
        <f>D151+J151</f>
        <v>0</v>
      </c>
      <c r="D151" s="73"/>
      <c r="E151" s="73"/>
      <c r="F151" s="73"/>
      <c r="G151" s="73"/>
      <c r="H151" s="73"/>
      <c r="I151" s="73"/>
      <c r="J151" s="270">
        <f t="shared" si="43"/>
        <v>0</v>
      </c>
      <c r="K151" s="73"/>
      <c r="L151" s="73"/>
      <c r="M151" s="73"/>
      <c r="N151" s="73"/>
      <c r="O151" s="73">
        <f>'DTĐV 2019'!N793</f>
        <v>0</v>
      </c>
      <c r="P151" s="138"/>
      <c r="Q151" s="73"/>
      <c r="R151" s="73"/>
      <c r="S151" s="73"/>
      <c r="T151" s="73"/>
      <c r="U151" s="73"/>
      <c r="V151" s="73"/>
    </row>
    <row r="152" spans="1:22">
      <c r="A152" s="91">
        <v>8</v>
      </c>
      <c r="B152" s="137" t="s">
        <v>262</v>
      </c>
      <c r="C152" s="73">
        <f>D152+J152</f>
        <v>0</v>
      </c>
      <c r="D152" s="73"/>
      <c r="E152" s="73"/>
      <c r="F152" s="73"/>
      <c r="G152" s="73"/>
      <c r="H152" s="73"/>
      <c r="I152" s="73"/>
      <c r="J152" s="270">
        <f t="shared" si="43"/>
        <v>0</v>
      </c>
      <c r="K152" s="73"/>
      <c r="L152" s="73"/>
      <c r="M152" s="73"/>
      <c r="N152" s="73"/>
      <c r="O152" s="73">
        <f>'DTĐV 2019'!N809</f>
        <v>0</v>
      </c>
      <c r="P152" s="138"/>
      <c r="Q152" s="73"/>
      <c r="R152" s="73"/>
      <c r="S152" s="73"/>
      <c r="T152" s="73"/>
      <c r="U152" s="73"/>
      <c r="V152" s="73"/>
    </row>
    <row r="153" spans="1:22">
      <c r="A153" s="91">
        <v>9</v>
      </c>
      <c r="B153" s="137" t="s">
        <v>224</v>
      </c>
      <c r="C153" s="73">
        <f t="shared" ref="C153:C161" si="44">D153+J153</f>
        <v>0</v>
      </c>
      <c r="D153" s="73"/>
      <c r="E153" s="73"/>
      <c r="F153" s="73"/>
      <c r="G153" s="73"/>
      <c r="H153" s="73"/>
      <c r="I153" s="73"/>
      <c r="J153" s="270">
        <f>SUM(K153:V153)</f>
        <v>0</v>
      </c>
      <c r="K153" s="73"/>
      <c r="L153" s="73"/>
      <c r="M153" s="73"/>
      <c r="N153" s="73"/>
      <c r="O153" s="73">
        <f>'DTĐV 2019'!N823</f>
        <v>0</v>
      </c>
      <c r="P153" s="138"/>
      <c r="Q153" s="73"/>
      <c r="R153" s="73"/>
      <c r="S153" s="73"/>
      <c r="T153" s="73"/>
      <c r="U153" s="73"/>
      <c r="V153" s="73"/>
    </row>
    <row r="154" spans="1:22">
      <c r="A154" s="91">
        <v>10</v>
      </c>
      <c r="B154" s="137" t="s">
        <v>354</v>
      </c>
      <c r="C154" s="73">
        <f t="shared" si="44"/>
        <v>0</v>
      </c>
      <c r="D154" s="73"/>
      <c r="E154" s="73"/>
      <c r="F154" s="73"/>
      <c r="G154" s="73"/>
      <c r="H154" s="73"/>
      <c r="I154" s="73"/>
      <c r="J154" s="270">
        <f>SUM(K154:V154)</f>
        <v>0</v>
      </c>
      <c r="K154" s="73"/>
      <c r="L154" s="73"/>
      <c r="M154" s="73"/>
      <c r="N154" s="73"/>
      <c r="O154" s="73">
        <f>'DTĐV 2019'!N824</f>
        <v>0</v>
      </c>
      <c r="P154" s="138"/>
      <c r="Q154" s="73"/>
      <c r="R154" s="73"/>
      <c r="S154" s="73"/>
      <c r="T154" s="73"/>
      <c r="U154" s="73"/>
      <c r="V154" s="73"/>
    </row>
    <row r="155" spans="1:22">
      <c r="A155" s="91">
        <v>11</v>
      </c>
      <c r="B155" s="137" t="s">
        <v>355</v>
      </c>
      <c r="C155" s="73">
        <f t="shared" si="44"/>
        <v>0</v>
      </c>
      <c r="D155" s="73"/>
      <c r="E155" s="73"/>
      <c r="F155" s="73"/>
      <c r="G155" s="73"/>
      <c r="H155" s="73"/>
      <c r="I155" s="73"/>
      <c r="J155" s="270">
        <f t="shared" ref="J155:J161" si="45">SUM(K155:V155)</f>
        <v>0</v>
      </c>
      <c r="K155" s="73"/>
      <c r="L155" s="73"/>
      <c r="M155" s="73"/>
      <c r="N155" s="73"/>
      <c r="O155" s="73">
        <f>'DTĐV 2019'!N825</f>
        <v>0</v>
      </c>
      <c r="P155" s="138"/>
      <c r="Q155" s="73"/>
      <c r="R155" s="73"/>
      <c r="S155" s="73"/>
      <c r="T155" s="73"/>
      <c r="U155" s="73"/>
      <c r="V155" s="73"/>
    </row>
    <row r="156" spans="1:22">
      <c r="A156" s="91">
        <v>12</v>
      </c>
      <c r="B156" s="137" t="s">
        <v>222</v>
      </c>
      <c r="C156" s="73">
        <f t="shared" si="44"/>
        <v>0</v>
      </c>
      <c r="D156" s="73"/>
      <c r="E156" s="73"/>
      <c r="F156" s="73"/>
      <c r="G156" s="73"/>
      <c r="H156" s="73"/>
      <c r="I156" s="73"/>
      <c r="J156" s="270">
        <f t="shared" si="45"/>
        <v>0</v>
      </c>
      <c r="K156" s="73"/>
      <c r="L156" s="73"/>
      <c r="M156" s="73"/>
      <c r="N156" s="73"/>
      <c r="O156" s="73">
        <f>'DTĐV 2019'!N826</f>
        <v>0</v>
      </c>
      <c r="P156" s="138"/>
      <c r="Q156" s="73"/>
      <c r="R156" s="73"/>
      <c r="S156" s="73"/>
      <c r="T156" s="73"/>
      <c r="U156" s="73"/>
      <c r="V156" s="73"/>
    </row>
    <row r="157" spans="1:22">
      <c r="A157" s="91">
        <v>13</v>
      </c>
      <c r="B157" s="137" t="s">
        <v>223</v>
      </c>
      <c r="C157" s="73">
        <f t="shared" si="44"/>
        <v>0</v>
      </c>
      <c r="D157" s="73"/>
      <c r="E157" s="73"/>
      <c r="F157" s="73"/>
      <c r="G157" s="73"/>
      <c r="H157" s="73"/>
      <c r="I157" s="73"/>
      <c r="J157" s="270">
        <f t="shared" si="45"/>
        <v>0</v>
      </c>
      <c r="K157" s="73"/>
      <c r="L157" s="73"/>
      <c r="M157" s="73"/>
      <c r="N157" s="73"/>
      <c r="O157" s="73">
        <f>'DTĐV 2019'!N827</f>
        <v>0</v>
      </c>
      <c r="P157" s="138"/>
      <c r="Q157" s="73"/>
      <c r="R157" s="73"/>
      <c r="S157" s="73"/>
      <c r="T157" s="73"/>
      <c r="U157" s="73"/>
      <c r="V157" s="73"/>
    </row>
    <row r="158" spans="1:22">
      <c r="A158" s="91">
        <v>14</v>
      </c>
      <c r="B158" s="137" t="s">
        <v>574</v>
      </c>
      <c r="C158" s="73">
        <f t="shared" si="44"/>
        <v>0</v>
      </c>
      <c r="D158" s="73"/>
      <c r="E158" s="73"/>
      <c r="F158" s="73"/>
      <c r="G158" s="73"/>
      <c r="H158" s="73"/>
      <c r="I158" s="73"/>
      <c r="J158" s="270">
        <f t="shared" si="45"/>
        <v>0</v>
      </c>
      <c r="K158" s="73"/>
      <c r="L158" s="73"/>
      <c r="M158" s="73"/>
      <c r="N158" s="73"/>
      <c r="O158" s="73">
        <f>'DTĐV 2019'!N828</f>
        <v>0</v>
      </c>
      <c r="P158" s="138"/>
      <c r="Q158" s="73"/>
      <c r="R158" s="73"/>
      <c r="S158" s="73"/>
      <c r="T158" s="73"/>
      <c r="U158" s="73"/>
      <c r="V158" s="73"/>
    </row>
    <row r="159" spans="1:22">
      <c r="A159" s="91">
        <v>15</v>
      </c>
      <c r="B159" s="193" t="s">
        <v>589</v>
      </c>
      <c r="C159" s="73">
        <f t="shared" si="44"/>
        <v>0</v>
      </c>
      <c r="D159" s="73"/>
      <c r="E159" s="73"/>
      <c r="F159" s="73"/>
      <c r="G159" s="73"/>
      <c r="H159" s="73"/>
      <c r="I159" s="73"/>
      <c r="J159" s="270">
        <f t="shared" si="45"/>
        <v>0</v>
      </c>
      <c r="K159" s="73"/>
      <c r="L159" s="73"/>
      <c r="M159" s="73"/>
      <c r="N159" s="73"/>
      <c r="O159" s="73">
        <f>'DTĐV 2019'!N830</f>
        <v>0</v>
      </c>
      <c r="P159" s="138"/>
      <c r="Q159" s="73"/>
      <c r="R159" s="73"/>
      <c r="S159" s="73"/>
      <c r="T159" s="73"/>
      <c r="U159" s="73"/>
      <c r="V159" s="73"/>
    </row>
    <row r="160" spans="1:22">
      <c r="A160" s="91">
        <v>16</v>
      </c>
      <c r="B160" s="193" t="s">
        <v>656</v>
      </c>
      <c r="C160" s="73">
        <f t="shared" si="44"/>
        <v>0</v>
      </c>
      <c r="D160" s="73"/>
      <c r="E160" s="73"/>
      <c r="F160" s="73"/>
      <c r="G160" s="73"/>
      <c r="H160" s="73"/>
      <c r="I160" s="73"/>
      <c r="J160" s="270">
        <f t="shared" si="45"/>
        <v>0</v>
      </c>
      <c r="K160" s="73"/>
      <c r="L160" s="73"/>
      <c r="M160" s="73"/>
      <c r="N160" s="73"/>
      <c r="O160" s="73">
        <f>'DTĐV 2019'!N829</f>
        <v>0</v>
      </c>
      <c r="P160" s="138"/>
      <c r="Q160" s="73"/>
      <c r="R160" s="73"/>
      <c r="S160" s="73"/>
      <c r="T160" s="73"/>
      <c r="U160" s="73"/>
      <c r="V160" s="73"/>
    </row>
    <row r="161" spans="1:22" ht="13.5" customHeight="1">
      <c r="A161" s="91">
        <v>17</v>
      </c>
      <c r="B161" s="193" t="s">
        <v>678</v>
      </c>
      <c r="C161" s="73">
        <f t="shared" si="44"/>
        <v>0</v>
      </c>
      <c r="D161" s="73"/>
      <c r="E161" s="73"/>
      <c r="F161" s="73"/>
      <c r="G161" s="73"/>
      <c r="H161" s="73"/>
      <c r="I161" s="73"/>
      <c r="J161" s="270">
        <f t="shared" si="45"/>
        <v>0</v>
      </c>
      <c r="K161" s="73"/>
      <c r="L161" s="73"/>
      <c r="M161" s="73"/>
      <c r="N161" s="73"/>
      <c r="O161" s="73">
        <f>'DTĐV 2019'!N831</f>
        <v>0</v>
      </c>
      <c r="P161" s="138"/>
      <c r="Q161" s="73"/>
      <c r="R161" s="73"/>
      <c r="S161" s="73"/>
      <c r="T161" s="73"/>
      <c r="U161" s="73"/>
      <c r="V161" s="73"/>
    </row>
    <row r="162" spans="1:22" ht="15.75" hidden="1" customHeight="1">
      <c r="A162" s="135"/>
      <c r="B162" s="136"/>
      <c r="C162" s="72"/>
      <c r="D162" s="72"/>
      <c r="E162" s="72"/>
      <c r="F162" s="72"/>
      <c r="G162" s="72"/>
      <c r="H162" s="72"/>
      <c r="I162" s="72"/>
      <c r="J162" s="266"/>
      <c r="K162" s="72">
        <f t="shared" ref="K162:V162" si="46">K163</f>
        <v>0</v>
      </c>
      <c r="L162" s="72"/>
      <c r="M162" s="72">
        <f t="shared" si="46"/>
        <v>0</v>
      </c>
      <c r="N162" s="72">
        <f t="shared" si="46"/>
        <v>0</v>
      </c>
      <c r="O162" s="72">
        <f t="shared" si="46"/>
        <v>0</v>
      </c>
      <c r="P162" s="72">
        <f t="shared" si="46"/>
        <v>0</v>
      </c>
      <c r="Q162" s="72">
        <f t="shared" si="46"/>
        <v>0</v>
      </c>
      <c r="R162" s="72">
        <f>R163</f>
        <v>0</v>
      </c>
      <c r="S162" s="72"/>
      <c r="T162" s="72"/>
      <c r="U162" s="72"/>
      <c r="V162" s="72">
        <f t="shared" si="46"/>
        <v>0</v>
      </c>
    </row>
    <row r="163" spans="1:22" ht="15.75" hidden="1" customHeight="1">
      <c r="A163" s="91"/>
      <c r="B163" s="137"/>
      <c r="C163" s="73"/>
      <c r="D163" s="73"/>
      <c r="E163" s="73"/>
      <c r="F163" s="73"/>
      <c r="G163" s="73"/>
      <c r="H163" s="73"/>
      <c r="I163" s="73"/>
      <c r="J163" s="267"/>
      <c r="K163" s="138"/>
      <c r="L163" s="138"/>
      <c r="M163" s="73"/>
      <c r="N163" s="73"/>
      <c r="O163" s="73"/>
      <c r="P163" s="73"/>
      <c r="Q163" s="73"/>
      <c r="R163" s="73"/>
      <c r="S163" s="73"/>
      <c r="T163" s="73"/>
      <c r="U163" s="73"/>
      <c r="V163" s="73"/>
    </row>
    <row r="164" spans="1:22">
      <c r="A164" s="139" t="s">
        <v>283</v>
      </c>
      <c r="B164" s="136" t="s">
        <v>1195</v>
      </c>
      <c r="C164" s="72">
        <f>SUM(C165:C188)</f>
        <v>2789822.9759999998</v>
      </c>
      <c r="D164" s="72">
        <f t="shared" ref="D164:I164" si="47">SUM(D165:D186)</f>
        <v>0</v>
      </c>
      <c r="E164" s="72">
        <f t="shared" si="47"/>
        <v>0</v>
      </c>
      <c r="F164" s="72">
        <f t="shared" si="47"/>
        <v>0</v>
      </c>
      <c r="G164" s="72">
        <f t="shared" si="47"/>
        <v>0</v>
      </c>
      <c r="H164" s="72">
        <f t="shared" si="47"/>
        <v>0</v>
      </c>
      <c r="I164" s="72">
        <f t="shared" si="47"/>
        <v>0</v>
      </c>
      <c r="J164" s="268">
        <f>SUM(J165:J188)</f>
        <v>2789822.9759999998</v>
      </c>
      <c r="K164" s="72">
        <f>SUM(K165:K186)</f>
        <v>0</v>
      </c>
      <c r="L164" s="72"/>
      <c r="M164" s="72">
        <f t="shared" ref="M164:O164" si="48">SUM(M165:M186)</f>
        <v>0</v>
      </c>
      <c r="N164" s="72">
        <f t="shared" si="48"/>
        <v>0</v>
      </c>
      <c r="O164" s="72">
        <f t="shared" si="48"/>
        <v>0</v>
      </c>
      <c r="P164" s="72">
        <f>SUM(P165:P188)</f>
        <v>2789822.9759999998</v>
      </c>
      <c r="Q164" s="72">
        <f t="shared" ref="Q164:R164" si="49">SUM(Q165:Q186)</f>
        <v>0</v>
      </c>
      <c r="R164" s="72">
        <f t="shared" si="49"/>
        <v>0</v>
      </c>
      <c r="S164" s="72"/>
      <c r="T164" s="72"/>
      <c r="U164" s="72"/>
      <c r="V164" s="72">
        <f>SUM(V165:V186)</f>
        <v>0</v>
      </c>
    </row>
    <row r="165" spans="1:22">
      <c r="A165" s="91">
        <v>1</v>
      </c>
      <c r="B165" s="137" t="s">
        <v>675</v>
      </c>
      <c r="C165" s="73">
        <f>D165+J165</f>
        <v>35000</v>
      </c>
      <c r="D165" s="73">
        <f>E165</f>
        <v>0</v>
      </c>
      <c r="E165" s="73">
        <f>F165+G165</f>
        <v>0</v>
      </c>
      <c r="F165" s="73"/>
      <c r="G165" s="73"/>
      <c r="H165" s="73"/>
      <c r="I165" s="73"/>
      <c r="J165" s="269">
        <f>'DTĐV 2019'!N122</f>
        <v>35000</v>
      </c>
      <c r="K165" s="73"/>
      <c r="L165" s="73"/>
      <c r="M165" s="73"/>
      <c r="N165" s="73"/>
      <c r="O165" s="73"/>
      <c r="P165" s="138">
        <f>'DTĐV 2019'!N122</f>
        <v>35000</v>
      </c>
      <c r="Q165" s="73"/>
      <c r="R165" s="73"/>
      <c r="S165" s="73"/>
      <c r="T165" s="73"/>
      <c r="U165" s="73"/>
      <c r="V165" s="73"/>
    </row>
    <row r="166" spans="1:22">
      <c r="A166" s="91">
        <v>2</v>
      </c>
      <c r="B166" s="137" t="s">
        <v>215</v>
      </c>
      <c r="C166" s="73">
        <f>D166+J166</f>
        <v>246438.66000000003</v>
      </c>
      <c r="D166" s="73"/>
      <c r="E166" s="73"/>
      <c r="F166" s="73"/>
      <c r="G166" s="73"/>
      <c r="H166" s="73"/>
      <c r="I166" s="73"/>
      <c r="J166" s="269">
        <f>'DTĐV 2019'!N171</f>
        <v>246438.66000000003</v>
      </c>
      <c r="K166" s="73"/>
      <c r="L166" s="73"/>
      <c r="M166" s="73"/>
      <c r="N166" s="73"/>
      <c r="O166" s="73"/>
      <c r="P166" s="138">
        <f>'DTĐV 2019'!N171</f>
        <v>246438.66000000003</v>
      </c>
      <c r="Q166" s="73"/>
      <c r="R166" s="73"/>
      <c r="S166" s="73"/>
      <c r="T166" s="73"/>
      <c r="U166" s="73"/>
      <c r="V166" s="73"/>
    </row>
    <row r="167" spans="1:22">
      <c r="A167" s="91">
        <v>3</v>
      </c>
      <c r="B167" s="137" t="s">
        <v>676</v>
      </c>
      <c r="C167" s="73">
        <f>D167+J167</f>
        <v>372435.20999999996</v>
      </c>
      <c r="D167" s="73"/>
      <c r="E167" s="73"/>
      <c r="F167" s="73"/>
      <c r="G167" s="73"/>
      <c r="H167" s="73"/>
      <c r="I167" s="73"/>
      <c r="J167" s="269">
        <f>'DTĐV 2019'!N198</f>
        <v>372435.20999999996</v>
      </c>
      <c r="K167" s="73"/>
      <c r="L167" s="73"/>
      <c r="M167" s="73"/>
      <c r="N167" s="73"/>
      <c r="O167" s="73"/>
      <c r="P167" s="138">
        <f>'DTĐV 2019'!N198</f>
        <v>372435.20999999996</v>
      </c>
      <c r="Q167" s="73"/>
      <c r="R167" s="73"/>
      <c r="S167" s="73"/>
      <c r="T167" s="73"/>
      <c r="U167" s="73"/>
      <c r="V167" s="73"/>
    </row>
    <row r="168" spans="1:22">
      <c r="A168" s="91">
        <v>4</v>
      </c>
      <c r="B168" s="137" t="s">
        <v>788</v>
      </c>
      <c r="C168" s="73">
        <f>D168+J168</f>
        <v>4500</v>
      </c>
      <c r="D168" s="73"/>
      <c r="E168" s="73"/>
      <c r="F168" s="73"/>
      <c r="G168" s="73"/>
      <c r="H168" s="73"/>
      <c r="I168" s="73"/>
      <c r="J168" s="269">
        <f t="shared" ref="J168:J182" si="50">SUM(K168:V168)</f>
        <v>4500</v>
      </c>
      <c r="K168" s="73"/>
      <c r="L168" s="73"/>
      <c r="M168" s="73"/>
      <c r="N168" s="73"/>
      <c r="O168" s="73"/>
      <c r="P168" s="138">
        <f>'DTĐV 2019'!N240</f>
        <v>4500</v>
      </c>
      <c r="Q168" s="73"/>
      <c r="R168" s="73"/>
      <c r="S168" s="73"/>
      <c r="T168" s="73"/>
      <c r="U168" s="73"/>
      <c r="V168" s="73"/>
    </row>
    <row r="169" spans="1:22">
      <c r="A169" s="91">
        <v>5</v>
      </c>
      <c r="B169" s="137" t="s">
        <v>310</v>
      </c>
      <c r="C169" s="73">
        <f t="shared" ref="C169:C182" si="51">D169+J169</f>
        <v>10000</v>
      </c>
      <c r="D169" s="73"/>
      <c r="E169" s="73"/>
      <c r="F169" s="73"/>
      <c r="G169" s="73"/>
      <c r="H169" s="73"/>
      <c r="I169" s="73"/>
      <c r="J169" s="269">
        <f t="shared" si="50"/>
        <v>10000</v>
      </c>
      <c r="K169" s="73"/>
      <c r="L169" s="73"/>
      <c r="M169" s="73"/>
      <c r="N169" s="73"/>
      <c r="O169" s="73"/>
      <c r="P169" s="138">
        <f>'DTĐV 2019'!N276</f>
        <v>10000</v>
      </c>
      <c r="Q169" s="73"/>
      <c r="R169" s="73"/>
      <c r="S169" s="73"/>
      <c r="T169" s="73"/>
      <c r="U169" s="73"/>
      <c r="V169" s="73"/>
    </row>
    <row r="170" spans="1:22">
      <c r="A170" s="91">
        <v>6</v>
      </c>
      <c r="B170" s="137" t="s">
        <v>258</v>
      </c>
      <c r="C170" s="73">
        <f t="shared" si="51"/>
        <v>3500</v>
      </c>
      <c r="D170" s="73"/>
      <c r="E170" s="73"/>
      <c r="F170" s="73"/>
      <c r="G170" s="73"/>
      <c r="H170" s="73"/>
      <c r="I170" s="73"/>
      <c r="J170" s="269">
        <f t="shared" si="50"/>
        <v>3500</v>
      </c>
      <c r="K170" s="73"/>
      <c r="L170" s="73"/>
      <c r="M170" s="73"/>
      <c r="N170" s="73"/>
      <c r="O170" s="73"/>
      <c r="P170" s="138">
        <f>'DTĐV 2019'!N303</f>
        <v>3500</v>
      </c>
      <c r="Q170" s="73"/>
      <c r="R170" s="73"/>
      <c r="S170" s="73"/>
      <c r="T170" s="73"/>
      <c r="U170" s="73"/>
      <c r="V170" s="73"/>
    </row>
    <row r="171" spans="1:22">
      <c r="A171" s="91">
        <v>7</v>
      </c>
      <c r="B171" s="137" t="s">
        <v>259</v>
      </c>
      <c r="C171" s="73">
        <f t="shared" si="51"/>
        <v>15000</v>
      </c>
      <c r="D171" s="73"/>
      <c r="E171" s="73"/>
      <c r="F171" s="73"/>
      <c r="G171" s="73"/>
      <c r="H171" s="73"/>
      <c r="I171" s="73"/>
      <c r="J171" s="269">
        <f t="shared" si="50"/>
        <v>15000</v>
      </c>
      <c r="K171" s="73"/>
      <c r="L171" s="73"/>
      <c r="M171" s="73"/>
      <c r="N171" s="73"/>
      <c r="O171" s="138"/>
      <c r="P171" s="73">
        <f>'DTĐV 2019'!N322</f>
        <v>15000</v>
      </c>
      <c r="Q171" s="73"/>
      <c r="R171" s="73"/>
      <c r="S171" s="73"/>
      <c r="T171" s="73"/>
      <c r="U171" s="73"/>
      <c r="V171" s="73"/>
    </row>
    <row r="172" spans="1:22">
      <c r="A172" s="91">
        <v>8</v>
      </c>
      <c r="B172" s="137" t="s">
        <v>260</v>
      </c>
      <c r="C172" s="73">
        <f t="shared" si="51"/>
        <v>10000</v>
      </c>
      <c r="D172" s="73"/>
      <c r="E172" s="73"/>
      <c r="F172" s="73"/>
      <c r="G172" s="73"/>
      <c r="H172" s="73"/>
      <c r="I172" s="73"/>
      <c r="J172" s="269">
        <f t="shared" si="50"/>
        <v>10000</v>
      </c>
      <c r="K172" s="73"/>
      <c r="L172" s="73"/>
      <c r="M172" s="73"/>
      <c r="N172" s="73"/>
      <c r="O172" s="138"/>
      <c r="P172" s="73">
        <f>'DTĐV 2019'!N337</f>
        <v>10000</v>
      </c>
      <c r="Q172" s="73"/>
      <c r="R172" s="73"/>
      <c r="S172" s="73"/>
      <c r="T172" s="73"/>
      <c r="U172" s="73"/>
      <c r="V172" s="73"/>
    </row>
    <row r="173" spans="1:22">
      <c r="A173" s="91">
        <v>9</v>
      </c>
      <c r="B173" s="137" t="s">
        <v>95</v>
      </c>
      <c r="C173" s="73">
        <f t="shared" si="51"/>
        <v>5000</v>
      </c>
      <c r="D173" s="73"/>
      <c r="E173" s="73"/>
      <c r="F173" s="73"/>
      <c r="G173" s="73"/>
      <c r="H173" s="73"/>
      <c r="I173" s="73"/>
      <c r="J173" s="269">
        <f t="shared" si="50"/>
        <v>5000</v>
      </c>
      <c r="K173" s="73"/>
      <c r="L173" s="73"/>
      <c r="M173" s="73"/>
      <c r="N173" s="73"/>
      <c r="O173" s="73"/>
      <c r="P173" s="138">
        <f>'DTĐV 2019'!N354</f>
        <v>5000</v>
      </c>
      <c r="Q173" s="73"/>
      <c r="R173" s="73"/>
      <c r="S173" s="73"/>
      <c r="T173" s="73"/>
      <c r="U173" s="73"/>
      <c r="V173" s="73"/>
    </row>
    <row r="174" spans="1:22">
      <c r="A174" s="91">
        <v>10</v>
      </c>
      <c r="B174" s="137" t="s">
        <v>96</v>
      </c>
      <c r="C174" s="73">
        <f t="shared" si="51"/>
        <v>12000</v>
      </c>
      <c r="D174" s="73"/>
      <c r="E174" s="73"/>
      <c r="F174" s="73"/>
      <c r="G174" s="73"/>
      <c r="H174" s="73"/>
      <c r="I174" s="73"/>
      <c r="J174" s="269">
        <f t="shared" si="50"/>
        <v>12000</v>
      </c>
      <c r="K174" s="73"/>
      <c r="L174" s="73"/>
      <c r="M174" s="73"/>
      <c r="N174" s="73"/>
      <c r="O174" s="73"/>
      <c r="P174" s="73">
        <f>'DTĐV 2019'!N357</f>
        <v>12000</v>
      </c>
      <c r="Q174" s="73"/>
      <c r="R174" s="138"/>
      <c r="S174" s="138"/>
      <c r="T174" s="138"/>
      <c r="U174" s="138"/>
      <c r="V174" s="73"/>
    </row>
    <row r="175" spans="1:22">
      <c r="A175" s="91">
        <v>11</v>
      </c>
      <c r="B175" s="137" t="s">
        <v>308</v>
      </c>
      <c r="C175" s="73">
        <f t="shared" si="51"/>
        <v>0</v>
      </c>
      <c r="D175" s="73"/>
      <c r="E175" s="73"/>
      <c r="F175" s="73"/>
      <c r="G175" s="73"/>
      <c r="H175" s="73"/>
      <c r="I175" s="73"/>
      <c r="J175" s="269">
        <f t="shared" si="50"/>
        <v>0</v>
      </c>
      <c r="K175" s="73"/>
      <c r="L175" s="73"/>
      <c r="M175" s="73"/>
      <c r="N175" s="73"/>
      <c r="O175" s="73"/>
      <c r="P175" s="138">
        <f>'DTĐV 2019'!N385</f>
        <v>0</v>
      </c>
      <c r="Q175" s="73"/>
      <c r="R175" s="73"/>
      <c r="S175" s="73"/>
      <c r="T175" s="73"/>
      <c r="U175" s="73"/>
      <c r="V175" s="73"/>
    </row>
    <row r="176" spans="1:22">
      <c r="A176" s="91">
        <v>12</v>
      </c>
      <c r="B176" s="137" t="s">
        <v>798</v>
      </c>
      <c r="C176" s="73">
        <f t="shared" si="51"/>
        <v>20000</v>
      </c>
      <c r="D176" s="73"/>
      <c r="E176" s="73"/>
      <c r="F176" s="73"/>
      <c r="G176" s="73"/>
      <c r="H176" s="73"/>
      <c r="I176" s="73"/>
      <c r="J176" s="269">
        <f t="shared" si="50"/>
        <v>20000</v>
      </c>
      <c r="K176" s="73"/>
      <c r="L176" s="73"/>
      <c r="M176" s="73"/>
      <c r="N176" s="73"/>
      <c r="O176" s="73"/>
      <c r="P176" s="73">
        <f>'DTĐV 2019'!N395</f>
        <v>20000</v>
      </c>
      <c r="Q176" s="73"/>
      <c r="R176" s="73"/>
      <c r="S176" s="73"/>
      <c r="T176" s="73"/>
      <c r="U176" s="73"/>
      <c r="V176" s="73"/>
    </row>
    <row r="177" spans="1:22">
      <c r="A177" s="91">
        <v>13</v>
      </c>
      <c r="B177" s="137" t="s">
        <v>97</v>
      </c>
      <c r="C177" s="73">
        <f t="shared" si="51"/>
        <v>8000</v>
      </c>
      <c r="D177" s="73">
        <f>E177</f>
        <v>0</v>
      </c>
      <c r="E177" s="73">
        <f>F177+G177</f>
        <v>0</v>
      </c>
      <c r="F177" s="73"/>
      <c r="G177" s="73"/>
      <c r="H177" s="73"/>
      <c r="I177" s="73"/>
      <c r="J177" s="269">
        <f t="shared" si="50"/>
        <v>8000</v>
      </c>
      <c r="K177" s="73"/>
      <c r="L177" s="73"/>
      <c r="M177" s="73"/>
      <c r="N177" s="73"/>
      <c r="O177" s="138"/>
      <c r="P177" s="140">
        <f>'DTĐV 2019'!N420</f>
        <v>8000</v>
      </c>
      <c r="Q177" s="73"/>
      <c r="R177" s="73"/>
      <c r="S177" s="73"/>
      <c r="T177" s="73"/>
      <c r="U177" s="73"/>
      <c r="V177" s="73"/>
    </row>
    <row r="178" spans="1:22">
      <c r="A178" s="91">
        <v>14</v>
      </c>
      <c r="B178" s="137" t="s">
        <v>441</v>
      </c>
      <c r="C178" s="73">
        <f t="shared" si="51"/>
        <v>10000</v>
      </c>
      <c r="D178" s="73">
        <f>E178</f>
        <v>0</v>
      </c>
      <c r="E178" s="73">
        <f>F178+G178</f>
        <v>0</v>
      </c>
      <c r="F178" s="73"/>
      <c r="G178" s="73"/>
      <c r="H178" s="73"/>
      <c r="I178" s="73"/>
      <c r="J178" s="269">
        <f t="shared" si="50"/>
        <v>10000</v>
      </c>
      <c r="K178" s="73"/>
      <c r="L178" s="73"/>
      <c r="M178" s="73"/>
      <c r="N178" s="73"/>
      <c r="O178" s="73"/>
      <c r="P178" s="140">
        <f>'DTĐV 2019'!N407</f>
        <v>10000</v>
      </c>
      <c r="Q178" s="138"/>
      <c r="R178" s="73"/>
      <c r="S178" s="73"/>
      <c r="T178" s="73"/>
      <c r="U178" s="73"/>
      <c r="V178" s="73"/>
    </row>
    <row r="179" spans="1:22">
      <c r="A179" s="91">
        <v>15</v>
      </c>
      <c r="B179" s="137" t="s">
        <v>98</v>
      </c>
      <c r="C179" s="73">
        <f t="shared" si="51"/>
        <v>10000</v>
      </c>
      <c r="D179" s="73"/>
      <c r="E179" s="73"/>
      <c r="F179" s="73"/>
      <c r="G179" s="73"/>
      <c r="H179" s="73"/>
      <c r="I179" s="73"/>
      <c r="J179" s="269">
        <f t="shared" si="50"/>
        <v>10000</v>
      </c>
      <c r="K179" s="73"/>
      <c r="L179" s="73"/>
      <c r="M179" s="73"/>
      <c r="N179" s="73"/>
      <c r="O179" s="73"/>
      <c r="P179" s="140">
        <f>'DTĐV 2019'!N434</f>
        <v>10000</v>
      </c>
      <c r="Q179" s="138"/>
      <c r="R179" s="73"/>
      <c r="S179" s="73"/>
      <c r="T179" s="73"/>
      <c r="U179" s="73"/>
      <c r="V179" s="73"/>
    </row>
    <row r="180" spans="1:22">
      <c r="A180" s="91">
        <v>16</v>
      </c>
      <c r="B180" s="137" t="s">
        <v>201</v>
      </c>
      <c r="C180" s="73">
        <f t="shared" si="51"/>
        <v>1000000</v>
      </c>
      <c r="D180" s="73">
        <f>E180</f>
        <v>0</v>
      </c>
      <c r="E180" s="73">
        <f>F180+G180</f>
        <v>0</v>
      </c>
      <c r="F180" s="73"/>
      <c r="G180" s="73"/>
      <c r="H180" s="73"/>
      <c r="I180" s="73"/>
      <c r="J180" s="269">
        <f t="shared" si="50"/>
        <v>1000000</v>
      </c>
      <c r="K180" s="73"/>
      <c r="L180" s="73"/>
      <c r="M180" s="73"/>
      <c r="N180" s="73"/>
      <c r="O180" s="73"/>
      <c r="P180" s="140">
        <f>'DTĐV 2019'!N371</f>
        <v>1000000</v>
      </c>
      <c r="Q180" s="138"/>
      <c r="R180" s="73"/>
      <c r="S180" s="73"/>
      <c r="T180" s="73"/>
      <c r="U180" s="73"/>
      <c r="V180" s="73"/>
    </row>
    <row r="181" spans="1:22">
      <c r="A181" s="91">
        <v>17</v>
      </c>
      <c r="B181" s="137" t="s">
        <v>148</v>
      </c>
      <c r="C181" s="73">
        <f t="shared" si="51"/>
        <v>30000</v>
      </c>
      <c r="D181" s="73"/>
      <c r="E181" s="73"/>
      <c r="F181" s="73"/>
      <c r="G181" s="73"/>
      <c r="H181" s="73"/>
      <c r="I181" s="73"/>
      <c r="J181" s="269">
        <f t="shared" si="50"/>
        <v>30000</v>
      </c>
      <c r="K181" s="73"/>
      <c r="L181" s="73"/>
      <c r="M181" s="73"/>
      <c r="N181" s="73"/>
      <c r="O181" s="73"/>
      <c r="P181" s="140">
        <f>'DTĐV 2019'!N452</f>
        <v>30000</v>
      </c>
      <c r="Q181" s="138"/>
      <c r="R181" s="73"/>
      <c r="S181" s="73"/>
      <c r="T181" s="73"/>
      <c r="U181" s="73"/>
      <c r="V181" s="73"/>
    </row>
    <row r="182" spans="1:22">
      <c r="A182" s="91">
        <v>18</v>
      </c>
      <c r="B182" s="137" t="s">
        <v>671</v>
      </c>
      <c r="C182" s="73">
        <f t="shared" si="51"/>
        <v>168134.40000000002</v>
      </c>
      <c r="D182" s="73"/>
      <c r="E182" s="73"/>
      <c r="F182" s="73"/>
      <c r="G182" s="73"/>
      <c r="H182" s="73"/>
      <c r="I182" s="73"/>
      <c r="J182" s="269">
        <f t="shared" si="50"/>
        <v>168134.40000000002</v>
      </c>
      <c r="K182" s="73"/>
      <c r="L182" s="73"/>
      <c r="M182" s="73"/>
      <c r="N182" s="73"/>
      <c r="O182" s="73"/>
      <c r="P182" s="140">
        <f>'DTĐV 2019'!N464</f>
        <v>168134.40000000002</v>
      </c>
      <c r="Q182" s="138"/>
      <c r="R182" s="73"/>
      <c r="S182" s="73"/>
      <c r="T182" s="73"/>
      <c r="U182" s="73"/>
      <c r="V182" s="73"/>
    </row>
    <row r="183" spans="1:22">
      <c r="A183" s="91">
        <v>19</v>
      </c>
      <c r="B183" s="137" t="s">
        <v>588</v>
      </c>
      <c r="C183" s="73">
        <f>D183+J183</f>
        <v>40000</v>
      </c>
      <c r="D183" s="73"/>
      <c r="E183" s="73"/>
      <c r="F183" s="73"/>
      <c r="G183" s="73"/>
      <c r="H183" s="73"/>
      <c r="I183" s="73"/>
      <c r="J183" s="269">
        <f>'DTĐV 2019'!N458</f>
        <v>40000</v>
      </c>
      <c r="K183" s="73"/>
      <c r="L183" s="73"/>
      <c r="M183" s="73"/>
      <c r="N183" s="73"/>
      <c r="O183" s="73"/>
      <c r="P183" s="140">
        <f>'DTĐV 2019'!N458</f>
        <v>40000</v>
      </c>
      <c r="Q183" s="138"/>
      <c r="R183" s="73"/>
      <c r="S183" s="73"/>
      <c r="T183" s="73"/>
      <c r="U183" s="73"/>
      <c r="V183" s="73"/>
    </row>
    <row r="184" spans="1:22">
      <c r="A184" s="91">
        <v>20</v>
      </c>
      <c r="B184" s="137" t="s">
        <v>601</v>
      </c>
      <c r="C184" s="73">
        <f t="shared" ref="C184:C191" si="52">D184+J184</f>
        <v>76500</v>
      </c>
      <c r="D184" s="73"/>
      <c r="E184" s="73"/>
      <c r="F184" s="73"/>
      <c r="G184" s="73"/>
      <c r="H184" s="73"/>
      <c r="I184" s="73"/>
      <c r="J184" s="269">
        <f>'DTĐV 2019'!N471</f>
        <v>76500</v>
      </c>
      <c r="K184" s="73"/>
      <c r="L184" s="73"/>
      <c r="M184" s="73"/>
      <c r="N184" s="73"/>
      <c r="O184" s="73"/>
      <c r="P184" s="140">
        <f>'DTĐV 2019'!N471</f>
        <v>76500</v>
      </c>
      <c r="Q184" s="138"/>
      <c r="R184" s="73"/>
      <c r="S184" s="73"/>
      <c r="T184" s="73"/>
      <c r="U184" s="73"/>
      <c r="V184" s="73"/>
    </row>
    <row r="185" spans="1:22">
      <c r="A185" s="91">
        <v>21</v>
      </c>
      <c r="B185" s="137" t="s">
        <v>202</v>
      </c>
      <c r="C185" s="73">
        <f t="shared" si="52"/>
        <v>33990</v>
      </c>
      <c r="D185" s="73"/>
      <c r="E185" s="73"/>
      <c r="F185" s="73"/>
      <c r="G185" s="73"/>
      <c r="H185" s="73"/>
      <c r="I185" s="73"/>
      <c r="J185" s="269">
        <f>'DTĐV 2019'!N477</f>
        <v>33990</v>
      </c>
      <c r="K185" s="138"/>
      <c r="L185" s="138"/>
      <c r="M185" s="73"/>
      <c r="N185" s="73"/>
      <c r="O185" s="73"/>
      <c r="P185" s="73">
        <f>'DTĐV 2019'!N477</f>
        <v>33990</v>
      </c>
      <c r="Q185" s="73"/>
      <c r="R185" s="73"/>
      <c r="S185" s="73"/>
      <c r="T185" s="73"/>
      <c r="U185" s="73"/>
      <c r="V185" s="73"/>
    </row>
    <row r="186" spans="1:22">
      <c r="A186" s="91">
        <v>22</v>
      </c>
      <c r="B186" s="137" t="s">
        <v>203</v>
      </c>
      <c r="C186" s="73">
        <f t="shared" si="52"/>
        <v>20240</v>
      </c>
      <c r="D186" s="73"/>
      <c r="E186" s="73"/>
      <c r="F186" s="73"/>
      <c r="G186" s="73"/>
      <c r="H186" s="73"/>
      <c r="I186" s="73"/>
      <c r="J186" s="269">
        <f>'DTĐV 2019'!N478</f>
        <v>20240</v>
      </c>
      <c r="K186" s="73"/>
      <c r="L186" s="73"/>
      <c r="M186" s="73"/>
      <c r="N186" s="73"/>
      <c r="O186" s="73"/>
      <c r="P186" s="73">
        <f>'DTĐV 2019'!N478</f>
        <v>20240</v>
      </c>
      <c r="Q186" s="73"/>
      <c r="R186" s="73"/>
      <c r="S186" s="73"/>
      <c r="T186" s="73"/>
      <c r="U186" s="73"/>
      <c r="V186" s="138"/>
    </row>
    <row r="187" spans="1:22">
      <c r="A187" s="91">
        <v>23</v>
      </c>
      <c r="B187" s="193" t="s">
        <v>382</v>
      </c>
      <c r="C187" s="73">
        <f t="shared" si="52"/>
        <v>459084.70599999995</v>
      </c>
      <c r="D187" s="72"/>
      <c r="E187" s="72"/>
      <c r="F187" s="72"/>
      <c r="G187" s="72"/>
      <c r="H187" s="72"/>
      <c r="I187" s="72"/>
      <c r="J187" s="269">
        <f>'DTĐV 2019'!N479</f>
        <v>459084.70599999995</v>
      </c>
      <c r="K187" s="271"/>
      <c r="L187" s="271"/>
      <c r="M187" s="272"/>
      <c r="N187" s="72"/>
      <c r="O187" s="72"/>
      <c r="P187" s="73">
        <f>'DTĐV 2019'!N479</f>
        <v>459084.70599999995</v>
      </c>
      <c r="Q187" s="72"/>
      <c r="R187" s="72"/>
      <c r="S187" s="72"/>
      <c r="T187" s="72"/>
      <c r="U187" s="72"/>
      <c r="V187" s="72"/>
    </row>
    <row r="188" spans="1:22">
      <c r="A188" s="91">
        <v>24</v>
      </c>
      <c r="B188" s="193" t="s">
        <v>590</v>
      </c>
      <c r="C188" s="73">
        <f t="shared" si="52"/>
        <v>200000</v>
      </c>
      <c r="D188" s="72"/>
      <c r="E188" s="72"/>
      <c r="F188" s="72"/>
      <c r="G188" s="72"/>
      <c r="H188" s="72"/>
      <c r="I188" s="72"/>
      <c r="J188" s="269">
        <f>'DTĐV 2019'!N480</f>
        <v>200000</v>
      </c>
      <c r="K188" s="72"/>
      <c r="L188" s="72"/>
      <c r="M188" s="103"/>
      <c r="N188" s="72"/>
      <c r="O188" s="72"/>
      <c r="P188" s="73">
        <f>'DTĐV 2019'!N480</f>
        <v>200000</v>
      </c>
      <c r="Q188" s="72"/>
      <c r="R188" s="72"/>
      <c r="S188" s="72"/>
      <c r="T188" s="72"/>
      <c r="U188" s="72"/>
      <c r="V188" s="72"/>
    </row>
    <row r="189" spans="1:22">
      <c r="A189" s="135" t="s">
        <v>25</v>
      </c>
      <c r="B189" s="181" t="s">
        <v>1196</v>
      </c>
      <c r="C189" s="72">
        <f t="shared" si="52"/>
        <v>140000</v>
      </c>
      <c r="D189" s="72"/>
      <c r="E189" s="72"/>
      <c r="F189" s="72"/>
      <c r="G189" s="72"/>
      <c r="H189" s="72"/>
      <c r="I189" s="72"/>
      <c r="J189" s="266">
        <f>J190+J191</f>
        <v>140000</v>
      </c>
      <c r="K189" s="72"/>
      <c r="L189" s="72"/>
      <c r="M189" s="103"/>
      <c r="N189" s="72"/>
      <c r="O189" s="72"/>
      <c r="P189" s="73"/>
      <c r="Q189" s="72"/>
      <c r="R189" s="72"/>
      <c r="S189" s="72">
        <f>S190+S191</f>
        <v>140000</v>
      </c>
      <c r="T189" s="72"/>
      <c r="U189" s="72"/>
      <c r="V189" s="72"/>
    </row>
    <row r="190" spans="1:22">
      <c r="A190" s="91">
        <v>1</v>
      </c>
      <c r="B190" s="193" t="s">
        <v>1197</v>
      </c>
      <c r="C190" s="73">
        <f t="shared" si="52"/>
        <v>120000</v>
      </c>
      <c r="D190" s="72"/>
      <c r="E190" s="72"/>
      <c r="F190" s="72"/>
      <c r="G190" s="72"/>
      <c r="H190" s="72"/>
      <c r="I190" s="72"/>
      <c r="J190" s="267">
        <f>SUM(K190:V190)</f>
        <v>120000</v>
      </c>
      <c r="K190" s="72"/>
      <c r="L190" s="72"/>
      <c r="M190" s="103"/>
      <c r="N190" s="72"/>
      <c r="O190" s="72"/>
      <c r="P190" s="73"/>
      <c r="Q190" s="72"/>
      <c r="R190" s="72"/>
      <c r="S190" s="73">
        <f>'DTĐV 2019'!N750</f>
        <v>120000</v>
      </c>
      <c r="T190" s="72"/>
      <c r="U190" s="72"/>
      <c r="V190" s="72"/>
    </row>
    <row r="191" spans="1:22">
      <c r="A191" s="91">
        <v>2</v>
      </c>
      <c r="B191" s="193" t="s">
        <v>200</v>
      </c>
      <c r="C191" s="73">
        <f t="shared" si="52"/>
        <v>20000</v>
      </c>
      <c r="D191" s="72"/>
      <c r="E191" s="72"/>
      <c r="F191" s="72"/>
      <c r="G191" s="72"/>
      <c r="H191" s="72"/>
      <c r="I191" s="72"/>
      <c r="J191" s="267">
        <f>SUM(K191:V191)</f>
        <v>20000</v>
      </c>
      <c r="K191" s="72"/>
      <c r="L191" s="72"/>
      <c r="M191" s="103"/>
      <c r="N191" s="72"/>
      <c r="O191" s="72"/>
      <c r="P191" s="73"/>
      <c r="Q191" s="72"/>
      <c r="R191" s="72"/>
      <c r="S191" s="73">
        <f>'DTĐV 2019'!N722</f>
        <v>20000</v>
      </c>
      <c r="T191" s="72"/>
      <c r="U191" s="72"/>
      <c r="V191" s="72"/>
    </row>
    <row r="192" spans="1:22">
      <c r="A192" s="135" t="s">
        <v>26</v>
      </c>
      <c r="B192" s="688" t="s">
        <v>204</v>
      </c>
      <c r="C192" s="72">
        <f>SUM(C193:C194)</f>
        <v>0</v>
      </c>
      <c r="D192" s="72">
        <f t="shared" ref="D192:I192" si="53">SUM(D193:D194)</f>
        <v>0</v>
      </c>
      <c r="E192" s="72">
        <f t="shared" si="53"/>
        <v>0</v>
      </c>
      <c r="F192" s="72">
        <f t="shared" si="53"/>
        <v>0</v>
      </c>
      <c r="G192" s="72">
        <f t="shared" si="53"/>
        <v>0</v>
      </c>
      <c r="H192" s="72">
        <f t="shared" si="53"/>
        <v>0</v>
      </c>
      <c r="I192" s="72">
        <f t="shared" si="53"/>
        <v>0</v>
      </c>
      <c r="J192" s="268">
        <f>SUM(J193:J194)</f>
        <v>0</v>
      </c>
      <c r="K192" s="72">
        <f t="shared" ref="K192" si="54">SUM(K193:K194)</f>
        <v>0</v>
      </c>
      <c r="L192" s="72"/>
      <c r="M192" s="72">
        <f t="shared" ref="M192:P192" si="55">SUM(M193:M194)</f>
        <v>0</v>
      </c>
      <c r="N192" s="72">
        <f t="shared" si="55"/>
        <v>0</v>
      </c>
      <c r="O192" s="72">
        <f t="shared" si="55"/>
        <v>0</v>
      </c>
      <c r="P192" s="72">
        <f t="shared" si="55"/>
        <v>0</v>
      </c>
      <c r="Q192" s="72">
        <f>SUM(Q193:Q194)</f>
        <v>0</v>
      </c>
      <c r="R192" s="72">
        <f>SUM(R193:R194)</f>
        <v>0</v>
      </c>
      <c r="S192" s="72"/>
      <c r="T192" s="72"/>
      <c r="U192" s="72"/>
      <c r="V192" s="72">
        <f>SUM(V193:V194)</f>
        <v>0</v>
      </c>
    </row>
    <row r="193" spans="1:22">
      <c r="A193" s="91">
        <v>1</v>
      </c>
      <c r="B193" s="137" t="s">
        <v>263</v>
      </c>
      <c r="C193" s="73">
        <f t="shared" ref="C193" si="56">D193+J193</f>
        <v>0</v>
      </c>
      <c r="D193" s="73"/>
      <c r="E193" s="73"/>
      <c r="F193" s="73"/>
      <c r="G193" s="73"/>
      <c r="H193" s="73"/>
      <c r="I193" s="73"/>
      <c r="J193" s="267">
        <f>SUM(K193:V193)</f>
        <v>0</v>
      </c>
      <c r="K193" s="73"/>
      <c r="L193" s="73"/>
      <c r="M193" s="73"/>
      <c r="N193" s="73"/>
      <c r="O193" s="73"/>
      <c r="P193" s="73"/>
      <c r="Q193" s="138">
        <f>'DTĐV 2019'!N833</f>
        <v>0</v>
      </c>
      <c r="R193" s="73"/>
      <c r="S193" s="73"/>
      <c r="T193" s="73"/>
      <c r="U193" s="73"/>
      <c r="V193" s="73"/>
    </row>
    <row r="194" spans="1:22">
      <c r="A194" s="91">
        <v>2</v>
      </c>
      <c r="B194" s="137" t="s">
        <v>575</v>
      </c>
      <c r="C194" s="73">
        <f>D194+J194</f>
        <v>0</v>
      </c>
      <c r="D194" s="73"/>
      <c r="E194" s="73"/>
      <c r="F194" s="73"/>
      <c r="G194" s="73"/>
      <c r="H194" s="73"/>
      <c r="I194" s="73"/>
      <c r="J194" s="267">
        <f>SUM(K194:V194)</f>
        <v>0</v>
      </c>
      <c r="K194" s="73"/>
      <c r="L194" s="73"/>
      <c r="M194" s="73"/>
      <c r="N194" s="142"/>
      <c r="O194" s="142"/>
      <c r="P194" s="142"/>
      <c r="Q194" s="138">
        <f>'DTĐV 2019'!N851</f>
        <v>0</v>
      </c>
      <c r="R194" s="142"/>
      <c r="S194" s="142"/>
      <c r="T194" s="142"/>
      <c r="U194" s="142"/>
      <c r="V194" s="73"/>
    </row>
    <row r="195" spans="1:22">
      <c r="A195" s="135" t="s">
        <v>357</v>
      </c>
      <c r="B195" s="136" t="s">
        <v>1189</v>
      </c>
      <c r="C195" s="72">
        <f>D195+J195</f>
        <v>0</v>
      </c>
      <c r="D195" s="72"/>
      <c r="E195" s="72"/>
      <c r="F195" s="72"/>
      <c r="G195" s="72"/>
      <c r="H195" s="72"/>
      <c r="I195" s="72"/>
      <c r="J195" s="266">
        <f>'DTĐV 2019'!N865</f>
        <v>0</v>
      </c>
      <c r="K195" s="72"/>
      <c r="L195" s="72"/>
      <c r="M195" s="72"/>
      <c r="N195" s="144"/>
      <c r="O195" s="144"/>
      <c r="P195" s="144"/>
      <c r="Q195" s="103"/>
      <c r="R195" s="144"/>
      <c r="S195" s="144"/>
      <c r="T195" s="144"/>
      <c r="U195" s="144"/>
      <c r="V195" s="72"/>
    </row>
    <row r="196" spans="1:22" ht="31.5">
      <c r="A196" s="135" t="s">
        <v>152</v>
      </c>
      <c r="B196" s="136" t="s">
        <v>1192</v>
      </c>
      <c r="C196" s="72">
        <f>D196+J196</f>
        <v>0</v>
      </c>
      <c r="D196" s="72"/>
      <c r="E196" s="72"/>
      <c r="F196" s="72"/>
      <c r="G196" s="72"/>
      <c r="H196" s="72"/>
      <c r="I196" s="72"/>
      <c r="J196" s="266">
        <f>SUM(K196:V196)</f>
        <v>0</v>
      </c>
      <c r="K196" s="72"/>
      <c r="L196" s="72"/>
      <c r="M196" s="73"/>
      <c r="N196" s="142"/>
      <c r="O196" s="142"/>
      <c r="P196" s="142"/>
      <c r="Q196" s="138"/>
      <c r="R196" s="142"/>
      <c r="S196" s="142"/>
      <c r="T196" s="142"/>
      <c r="U196" s="142"/>
      <c r="V196" s="72">
        <f>'DTĐV 2019'!N866</f>
        <v>0</v>
      </c>
    </row>
    <row r="197" spans="1:22">
      <c r="A197" s="135" t="s">
        <v>154</v>
      </c>
      <c r="B197" s="136" t="s">
        <v>188</v>
      </c>
      <c r="C197" s="72">
        <f t="shared" ref="C197" si="57">D197+J197</f>
        <v>0</v>
      </c>
      <c r="D197" s="72"/>
      <c r="E197" s="72"/>
      <c r="F197" s="72"/>
      <c r="G197" s="72"/>
      <c r="H197" s="72"/>
      <c r="I197" s="72"/>
      <c r="J197" s="268">
        <f>'DTĐV 2019'!N867</f>
        <v>0</v>
      </c>
      <c r="K197" s="72"/>
      <c r="L197" s="72"/>
      <c r="M197" s="72"/>
      <c r="N197" s="143"/>
      <c r="O197" s="143"/>
      <c r="P197" s="143"/>
      <c r="Q197" s="143"/>
      <c r="R197" s="143"/>
      <c r="S197" s="143"/>
      <c r="T197" s="143"/>
      <c r="U197" s="143"/>
      <c r="V197" s="72"/>
    </row>
    <row r="198" spans="1:22">
      <c r="A198" s="135" t="s">
        <v>156</v>
      </c>
      <c r="B198" s="136" t="s">
        <v>576</v>
      </c>
      <c r="C198" s="72">
        <f>D198+J198</f>
        <v>0</v>
      </c>
      <c r="D198" s="72"/>
      <c r="E198" s="72"/>
      <c r="F198" s="72"/>
      <c r="G198" s="72"/>
      <c r="H198" s="72"/>
      <c r="I198" s="72"/>
      <c r="J198" s="266">
        <f>SUM(K198:V198)</f>
        <v>0</v>
      </c>
      <c r="K198" s="72"/>
      <c r="L198" s="72"/>
      <c r="M198" s="72"/>
      <c r="N198" s="143"/>
      <c r="O198" s="143"/>
      <c r="P198" s="143"/>
      <c r="Q198" s="143"/>
      <c r="R198" s="143"/>
      <c r="S198" s="143"/>
      <c r="T198" s="143"/>
      <c r="U198" s="143"/>
      <c r="V198" s="72">
        <f>'DTĐV 2019'!N868</f>
        <v>0</v>
      </c>
    </row>
    <row r="199" spans="1:22">
      <c r="A199" s="135" t="s">
        <v>504</v>
      </c>
      <c r="B199" s="136" t="s">
        <v>1150</v>
      </c>
      <c r="C199" s="72">
        <f>D199+J199</f>
        <v>0</v>
      </c>
      <c r="D199" s="72"/>
      <c r="E199" s="72"/>
      <c r="F199" s="72"/>
      <c r="G199" s="72"/>
      <c r="H199" s="72"/>
      <c r="I199" s="72"/>
      <c r="J199" s="266">
        <f>SUM(K199:V199)</f>
        <v>0</v>
      </c>
      <c r="K199" s="72"/>
      <c r="L199" s="72"/>
      <c r="M199" s="72"/>
      <c r="N199" s="143"/>
      <c r="O199" s="143"/>
      <c r="P199" s="143"/>
      <c r="Q199" s="143"/>
      <c r="R199" s="143"/>
      <c r="S199" s="143"/>
      <c r="T199" s="143"/>
      <c r="U199" s="143"/>
      <c r="V199" s="72">
        <f>'DTĐV 2019'!N870</f>
        <v>0</v>
      </c>
    </row>
    <row r="200" spans="1:22">
      <c r="A200" s="135" t="s">
        <v>527</v>
      </c>
      <c r="B200" s="136" t="s">
        <v>592</v>
      </c>
      <c r="C200" s="72">
        <f t="shared" ref="C200:C204" si="58">D200+J200</f>
        <v>0</v>
      </c>
      <c r="D200" s="72"/>
      <c r="E200" s="72"/>
      <c r="F200" s="72"/>
      <c r="G200" s="72"/>
      <c r="H200" s="72"/>
      <c r="I200" s="72"/>
      <c r="J200" s="266">
        <f>SUM(K200:V200)</f>
        <v>0</v>
      </c>
      <c r="K200" s="72"/>
      <c r="L200" s="72"/>
      <c r="M200" s="72"/>
      <c r="N200" s="143"/>
      <c r="O200" s="143"/>
      <c r="P200" s="143"/>
      <c r="Q200" s="143"/>
      <c r="R200" s="143"/>
      <c r="S200" s="143"/>
      <c r="T200" s="143"/>
      <c r="U200" s="143"/>
      <c r="V200" s="72">
        <f>'DTĐV 2019'!N885</f>
        <v>0</v>
      </c>
    </row>
    <row r="201" spans="1:22">
      <c r="A201" s="327" t="s">
        <v>649</v>
      </c>
      <c r="B201" s="136" t="s">
        <v>217</v>
      </c>
      <c r="C201" s="72">
        <f t="shared" si="58"/>
        <v>0</v>
      </c>
      <c r="D201" s="72"/>
      <c r="E201" s="72"/>
      <c r="F201" s="72"/>
      <c r="G201" s="72"/>
      <c r="H201" s="72"/>
      <c r="I201" s="72"/>
      <c r="J201" s="266">
        <f>SUM(K201:V201)</f>
        <v>0</v>
      </c>
      <c r="K201" s="72"/>
      <c r="L201" s="72"/>
      <c r="M201" s="72"/>
      <c r="N201" s="144"/>
      <c r="O201" s="144"/>
      <c r="P201" s="144"/>
      <c r="Q201" s="144"/>
      <c r="R201" s="144"/>
      <c r="S201" s="144"/>
      <c r="T201" s="144"/>
      <c r="U201" s="144"/>
      <c r="V201" s="72">
        <f>'DTĐV 2019'!N884</f>
        <v>0</v>
      </c>
    </row>
    <row r="202" spans="1:22">
      <c r="A202" s="327" t="s">
        <v>596</v>
      </c>
      <c r="B202" s="136" t="s">
        <v>597</v>
      </c>
      <c r="C202" s="72">
        <f t="shared" si="58"/>
        <v>0</v>
      </c>
      <c r="D202" s="72"/>
      <c r="E202" s="72"/>
      <c r="F202" s="72"/>
      <c r="G202" s="72"/>
      <c r="H202" s="72"/>
      <c r="I202" s="72"/>
      <c r="J202" s="266">
        <f>SUM(K202:V202)</f>
        <v>0</v>
      </c>
      <c r="K202" s="72"/>
      <c r="L202" s="72"/>
      <c r="M202" s="72"/>
      <c r="N202" s="144"/>
      <c r="O202" s="144"/>
      <c r="P202" s="144"/>
      <c r="Q202" s="144"/>
      <c r="R202" s="144"/>
      <c r="S202" s="144"/>
      <c r="T202" s="144"/>
      <c r="U202" s="144"/>
      <c r="V202" s="72">
        <f>'DTĐV 2019'!N886</f>
        <v>0</v>
      </c>
    </row>
    <row r="203" spans="1:22">
      <c r="A203" s="327" t="s">
        <v>66</v>
      </c>
      <c r="B203" s="136" t="s">
        <v>216</v>
      </c>
      <c r="C203" s="72">
        <f t="shared" si="58"/>
        <v>0</v>
      </c>
      <c r="D203" s="72">
        <f>E203</f>
        <v>0</v>
      </c>
      <c r="E203" s="72">
        <f>F203+I203</f>
        <v>0</v>
      </c>
      <c r="F203" s="72">
        <f>'DTĐV 2019'!N883</f>
        <v>0</v>
      </c>
      <c r="G203" s="72"/>
      <c r="H203" s="72"/>
      <c r="I203" s="72"/>
      <c r="J203" s="268"/>
      <c r="K203" s="72"/>
      <c r="L203" s="72"/>
      <c r="M203" s="72"/>
      <c r="N203" s="144"/>
      <c r="O203" s="144"/>
      <c r="P203" s="144"/>
      <c r="Q203" s="144"/>
      <c r="R203" s="144"/>
      <c r="S203" s="144"/>
      <c r="T203" s="144"/>
      <c r="U203" s="144"/>
      <c r="V203" s="72"/>
    </row>
    <row r="204" spans="1:22">
      <c r="A204" s="141" t="s">
        <v>67</v>
      </c>
      <c r="B204" s="136" t="s">
        <v>205</v>
      </c>
      <c r="C204" s="72">
        <f t="shared" si="58"/>
        <v>0</v>
      </c>
      <c r="D204" s="72"/>
      <c r="E204" s="72"/>
      <c r="F204" s="72"/>
      <c r="G204" s="72"/>
      <c r="H204" s="72"/>
      <c r="I204" s="72"/>
      <c r="J204" s="268">
        <f>SUM(K204:V204)</f>
        <v>0</v>
      </c>
      <c r="K204" s="72"/>
      <c r="L204" s="72"/>
      <c r="M204" s="72"/>
      <c r="N204" s="144"/>
      <c r="O204" s="144"/>
      <c r="P204" s="144"/>
      <c r="Q204" s="144"/>
      <c r="R204" s="144"/>
      <c r="S204" s="144"/>
      <c r="T204" s="144">
        <f>'DTĐV 2019'!N882</f>
        <v>0</v>
      </c>
      <c r="U204" s="144"/>
      <c r="V204" s="72"/>
    </row>
    <row r="205" spans="1:22">
      <c r="A205" s="92"/>
      <c r="B205" s="135" t="s">
        <v>420</v>
      </c>
      <c r="C205" s="72">
        <f>C121+C139+C142+C144+C164+C192+C196+C197+C198+C200+C201+C202+C204+C189+C203+C136+C195+C199</f>
        <v>141021933.27880001</v>
      </c>
      <c r="D205" s="72">
        <f t="shared" ref="D205:J205" si="59">D121+D139+D142+D144+D164+D192+D196+D197+D198+D200+D201+D202+D204+D189+D203+D136+D195+D199</f>
        <v>0</v>
      </c>
      <c r="E205" s="72">
        <f t="shared" si="59"/>
        <v>0</v>
      </c>
      <c r="F205" s="72">
        <f t="shared" si="59"/>
        <v>0</v>
      </c>
      <c r="G205" s="72">
        <f t="shared" si="59"/>
        <v>0</v>
      </c>
      <c r="H205" s="72">
        <f t="shared" si="59"/>
        <v>0</v>
      </c>
      <c r="I205" s="72">
        <f t="shared" si="59"/>
        <v>0</v>
      </c>
      <c r="J205" s="72">
        <f t="shared" si="59"/>
        <v>189450211.11494499</v>
      </c>
      <c r="K205" s="72">
        <f>K121+K139+K142+K144+K162+K164+K192+K196+K197+K198+K200+K201+K202+K204+K189+K203+K136</f>
        <v>52149202.138944998</v>
      </c>
      <c r="L205" s="72">
        <f t="shared" ref="L205:T205" si="60">L121+L139+L142+L144+L162+L164+L192+L196+L197+L198+L200+L201+L202+L204+L189+L203+L136</f>
        <v>14000000</v>
      </c>
      <c r="M205" s="72">
        <f t="shared" si="60"/>
        <v>76707584</v>
      </c>
      <c r="N205" s="72">
        <f t="shared" si="60"/>
        <v>5940562</v>
      </c>
      <c r="O205" s="72">
        <f t="shared" si="60"/>
        <v>37723040</v>
      </c>
      <c r="P205" s="72">
        <f t="shared" si="60"/>
        <v>2789822.9759999998</v>
      </c>
      <c r="Q205" s="72">
        <f t="shared" si="60"/>
        <v>0</v>
      </c>
      <c r="R205" s="72">
        <f t="shared" si="60"/>
        <v>0</v>
      </c>
      <c r="S205" s="72">
        <f t="shared" si="60"/>
        <v>140000</v>
      </c>
      <c r="T205" s="72">
        <f t="shared" si="60"/>
        <v>0</v>
      </c>
      <c r="U205" s="72"/>
      <c r="V205" s="72">
        <f>V121+V139+V142+V144+V162+V164+V192+V196+V197+V198+V200+V201+V202+V204+V189+V203+V136+V195+V199</f>
        <v>0</v>
      </c>
    </row>
    <row r="207" spans="1:22">
      <c r="P207" s="1127" t="s">
        <v>1592</v>
      </c>
      <c r="Q207" s="1127"/>
      <c r="R207" s="1127"/>
      <c r="S207" s="1127"/>
      <c r="T207" s="1127"/>
      <c r="U207" s="1127"/>
      <c r="V207" s="1127"/>
    </row>
    <row r="208" spans="1:22">
      <c r="Q208" s="1122" t="s">
        <v>637</v>
      </c>
      <c r="R208" s="1122"/>
      <c r="S208" s="1122"/>
      <c r="T208" s="1122"/>
      <c r="U208" s="750"/>
    </row>
    <row r="209" spans="17:21">
      <c r="Q209" s="1122" t="s">
        <v>638</v>
      </c>
      <c r="R209" s="1122"/>
      <c r="S209" s="1122"/>
      <c r="T209" s="1122"/>
      <c r="U209" s="750"/>
    </row>
    <row r="213" spans="17:21">
      <c r="Q213" s="1122" t="s">
        <v>807</v>
      </c>
      <c r="R213" s="1122"/>
      <c r="S213" s="1122"/>
      <c r="T213" s="1122"/>
      <c r="U213" s="750"/>
    </row>
    <row r="214" spans="17:21">
      <c r="Q214" s="750"/>
      <c r="R214" s="750"/>
      <c r="S214" s="750"/>
      <c r="T214" s="750"/>
      <c r="U214" s="750"/>
    </row>
    <row r="215" spans="17:21">
      <c r="Q215" s="750"/>
      <c r="R215" s="750"/>
      <c r="S215" s="750"/>
      <c r="T215" s="750"/>
      <c r="U215" s="750"/>
    </row>
    <row r="216" spans="17:21">
      <c r="Q216" s="750"/>
      <c r="R216" s="750"/>
      <c r="S216" s="750"/>
      <c r="T216" s="750"/>
      <c r="U216" s="750"/>
    </row>
    <row r="217" spans="17:21">
      <c r="Q217" s="750"/>
      <c r="R217" s="750"/>
      <c r="S217" s="750"/>
      <c r="T217" s="750"/>
      <c r="U217" s="750"/>
    </row>
    <row r="218" spans="17:21">
      <c r="Q218" s="750"/>
      <c r="R218" s="750"/>
      <c r="S218" s="750"/>
      <c r="T218" s="750"/>
      <c r="U218" s="750"/>
    </row>
    <row r="219" spans="17:21">
      <c r="Q219" s="750"/>
      <c r="R219" s="750"/>
      <c r="S219" s="750"/>
      <c r="T219" s="750"/>
      <c r="U219" s="750"/>
    </row>
    <row r="220" spans="17:21">
      <c r="Q220" s="750"/>
      <c r="R220" s="750"/>
      <c r="S220" s="750"/>
      <c r="T220" s="750"/>
      <c r="U220" s="750"/>
    </row>
    <row r="221" spans="17:21">
      <c r="Q221" s="750"/>
      <c r="R221" s="750"/>
      <c r="S221" s="750"/>
      <c r="T221" s="750"/>
      <c r="U221" s="750"/>
    </row>
    <row r="222" spans="17:21">
      <c r="Q222" s="750"/>
      <c r="R222" s="750"/>
      <c r="S222" s="750"/>
      <c r="T222" s="750"/>
      <c r="U222" s="750"/>
    </row>
    <row r="223" spans="17:21">
      <c r="Q223" s="750"/>
      <c r="R223" s="750"/>
      <c r="S223" s="750"/>
      <c r="T223" s="750"/>
      <c r="U223" s="750"/>
    </row>
    <row r="224" spans="17:21">
      <c r="Q224" s="908"/>
      <c r="R224" s="908"/>
      <c r="S224" s="908"/>
      <c r="T224" s="908"/>
      <c r="U224" s="908"/>
    </row>
    <row r="225" spans="1:22">
      <c r="Q225" s="908"/>
      <c r="R225" s="908"/>
      <c r="S225" s="908"/>
      <c r="T225" s="908"/>
      <c r="U225" s="908"/>
    </row>
    <row r="226" spans="1:22">
      <c r="Q226" s="908"/>
      <c r="R226" s="908"/>
      <c r="S226" s="908"/>
      <c r="T226" s="908"/>
      <c r="U226" s="908"/>
    </row>
    <row r="227" spans="1:22">
      <c r="Q227" s="908"/>
      <c r="R227" s="908"/>
      <c r="S227" s="908"/>
      <c r="T227" s="908"/>
      <c r="U227" s="908"/>
    </row>
    <row r="228" spans="1:22">
      <c r="Q228" s="750"/>
      <c r="R228" s="750"/>
      <c r="S228" s="750"/>
      <c r="T228" s="750"/>
      <c r="U228" s="750"/>
    </row>
    <row r="229" spans="1:22">
      <c r="Q229" s="750"/>
      <c r="R229" s="750"/>
      <c r="S229" s="750"/>
      <c r="T229" s="750"/>
      <c r="U229" s="750"/>
    </row>
    <row r="230" spans="1:22">
      <c r="Q230" s="750"/>
      <c r="R230" s="750"/>
      <c r="S230" s="750"/>
      <c r="T230" s="750"/>
      <c r="U230" s="750"/>
    </row>
    <row r="231" spans="1:22">
      <c r="A231" s="1126" t="s">
        <v>1215</v>
      </c>
      <c r="B231" s="1126"/>
      <c r="C231" s="1125"/>
      <c r="D231" s="1125"/>
      <c r="E231" s="1125"/>
      <c r="F231" s="1125"/>
      <c r="G231" s="1125"/>
      <c r="H231" s="1125"/>
      <c r="I231" s="1125"/>
      <c r="J231" s="1125"/>
      <c r="K231" s="1125"/>
      <c r="L231" s="1125"/>
      <c r="M231" s="1125"/>
      <c r="N231" s="1125"/>
      <c r="O231" s="1125"/>
      <c r="P231" s="1125"/>
      <c r="Q231" s="1125"/>
      <c r="R231" s="1125"/>
      <c r="S231" s="750"/>
      <c r="T231" s="750"/>
      <c r="U231" s="750"/>
      <c r="V231" s="133"/>
    </row>
    <row r="232" spans="1:22">
      <c r="A232" s="1126" t="s">
        <v>1216</v>
      </c>
      <c r="B232" s="1126"/>
      <c r="C232" s="1125"/>
      <c r="D232" s="1125"/>
      <c r="E232" s="1125"/>
      <c r="F232" s="1125"/>
      <c r="G232" s="1125"/>
      <c r="H232" s="1125"/>
      <c r="I232" s="1125"/>
      <c r="J232" s="1125"/>
      <c r="K232" s="1125"/>
      <c r="L232" s="1125"/>
      <c r="M232" s="1125"/>
      <c r="N232" s="1125"/>
      <c r="O232" s="1125"/>
      <c r="P232" s="1125"/>
      <c r="Q232" s="1125"/>
      <c r="R232" s="1125"/>
      <c r="S232" s="750"/>
      <c r="T232" s="750"/>
      <c r="U232" s="750"/>
    </row>
    <row r="233" spans="1:22">
      <c r="A233" s="911"/>
      <c r="B233" s="911"/>
      <c r="C233" s="1125" t="s">
        <v>1661</v>
      </c>
      <c r="D233" s="1125"/>
      <c r="E233" s="1125"/>
      <c r="F233" s="1125"/>
      <c r="G233" s="1125"/>
      <c r="H233" s="1125"/>
      <c r="I233" s="1125"/>
      <c r="J233" s="1125"/>
      <c r="K233" s="1125"/>
      <c r="L233" s="1125"/>
      <c r="M233" s="1125"/>
      <c r="N233" s="1125"/>
      <c r="O233" s="1125"/>
      <c r="P233" s="1125"/>
      <c r="Q233" s="1125"/>
      <c r="R233" s="1125"/>
      <c r="S233" s="908"/>
      <c r="T233" s="908"/>
      <c r="U233" s="908"/>
    </row>
    <row r="234" spans="1:22">
      <c r="Q234" s="1127" t="s">
        <v>1662</v>
      </c>
      <c r="R234" s="1127"/>
      <c r="S234" s="1127"/>
      <c r="T234" s="1127"/>
      <c r="U234" s="1127"/>
      <c r="V234" s="1127"/>
    </row>
    <row r="235" spans="1:22">
      <c r="A235" s="1140" t="s">
        <v>76</v>
      </c>
      <c r="B235" s="1141" t="s">
        <v>421</v>
      </c>
      <c r="C235" s="1109" t="s">
        <v>1594</v>
      </c>
      <c r="D235" s="1110"/>
      <c r="E235" s="1110"/>
      <c r="F235" s="1110"/>
      <c r="G235" s="1110"/>
      <c r="H235" s="1110"/>
      <c r="I235" s="1110"/>
      <c r="J235" s="1110"/>
      <c r="K235" s="1110"/>
      <c r="L235" s="1110"/>
      <c r="M235" s="1110"/>
      <c r="N235" s="1110"/>
      <c r="O235" s="1110"/>
      <c r="P235" s="1110"/>
      <c r="Q235" s="1110"/>
      <c r="R235" s="1110"/>
      <c r="S235" s="1110"/>
      <c r="T235" s="1110"/>
      <c r="U235" s="1110"/>
      <c r="V235" s="1134"/>
    </row>
    <row r="236" spans="1:22">
      <c r="A236" s="1140"/>
      <c r="B236" s="1141"/>
      <c r="C236" s="1142" t="s">
        <v>264</v>
      </c>
      <c r="D236" s="1142" t="s">
        <v>216</v>
      </c>
      <c r="E236" s="1142"/>
      <c r="F236" s="1142"/>
      <c r="G236" s="1142"/>
      <c r="H236" s="1142"/>
      <c r="I236" s="1142"/>
      <c r="J236" s="1143" t="s">
        <v>306</v>
      </c>
      <c r="K236" s="1142" t="s">
        <v>229</v>
      </c>
      <c r="L236" s="1142"/>
      <c r="M236" s="1142"/>
      <c r="N236" s="1142"/>
      <c r="O236" s="1142"/>
      <c r="P236" s="1142"/>
      <c r="Q236" s="1142"/>
      <c r="R236" s="1142"/>
      <c r="S236" s="1142"/>
      <c r="T236" s="1142"/>
      <c r="U236" s="1142"/>
      <c r="V236" s="1142"/>
    </row>
    <row r="237" spans="1:22">
      <c r="A237" s="1140"/>
      <c r="B237" s="1141"/>
      <c r="C237" s="1142"/>
      <c r="D237" s="1143" t="s">
        <v>306</v>
      </c>
      <c r="E237" s="1144" t="s">
        <v>383</v>
      </c>
      <c r="F237" s="1145"/>
      <c r="G237" s="1145"/>
      <c r="H237" s="1145"/>
      <c r="I237" s="1146"/>
      <c r="J237" s="1143"/>
      <c r="K237" s="1143" t="s">
        <v>230</v>
      </c>
      <c r="L237" s="1143" t="s">
        <v>587</v>
      </c>
      <c r="M237" s="1143" t="s">
        <v>231</v>
      </c>
      <c r="N237" s="1143" t="s">
        <v>1214</v>
      </c>
      <c r="O237" s="1143" t="s">
        <v>232</v>
      </c>
      <c r="P237" s="1143" t="s">
        <v>593</v>
      </c>
      <c r="Q237" s="1143" t="s">
        <v>557</v>
      </c>
      <c r="R237" s="1123" t="s">
        <v>1602</v>
      </c>
      <c r="S237" s="1123" t="s">
        <v>591</v>
      </c>
      <c r="T237" s="1123" t="s">
        <v>647</v>
      </c>
      <c r="U237" s="1123" t="s">
        <v>1600</v>
      </c>
      <c r="V237" s="1123" t="s">
        <v>233</v>
      </c>
    </row>
    <row r="238" spans="1:22" ht="51">
      <c r="A238" s="1140"/>
      <c r="B238" s="1141"/>
      <c r="C238" s="1142"/>
      <c r="D238" s="1143"/>
      <c r="E238" s="754" t="s">
        <v>306</v>
      </c>
      <c r="F238" s="754" t="s">
        <v>384</v>
      </c>
      <c r="G238" s="754" t="s">
        <v>559</v>
      </c>
      <c r="H238" s="754" t="s">
        <v>560</v>
      </c>
      <c r="I238" s="754" t="s">
        <v>385</v>
      </c>
      <c r="J238" s="1143"/>
      <c r="K238" s="1143"/>
      <c r="L238" s="1143"/>
      <c r="M238" s="1143"/>
      <c r="N238" s="1143"/>
      <c r="O238" s="1143"/>
      <c r="P238" s="1143"/>
      <c r="Q238" s="1143"/>
      <c r="R238" s="1124"/>
      <c r="S238" s="1124"/>
      <c r="T238" s="1124"/>
      <c r="U238" s="1124"/>
      <c r="V238" s="1124"/>
    </row>
    <row r="239" spans="1:22">
      <c r="A239" s="135" t="s">
        <v>84</v>
      </c>
      <c r="B239" s="136" t="s">
        <v>94</v>
      </c>
      <c r="C239" s="72">
        <f>SUM(C240:C253)</f>
        <v>36919659.938050002</v>
      </c>
      <c r="D239" s="72">
        <f t="shared" ref="D239:I239" si="61">SUM(D240:D247)</f>
        <v>0</v>
      </c>
      <c r="E239" s="72">
        <f t="shared" si="61"/>
        <v>0</v>
      </c>
      <c r="F239" s="72">
        <f t="shared" si="61"/>
        <v>0</v>
      </c>
      <c r="G239" s="72">
        <f t="shared" si="61"/>
        <v>0</v>
      </c>
      <c r="H239" s="72">
        <f t="shared" si="61"/>
        <v>0</v>
      </c>
      <c r="I239" s="72">
        <f t="shared" si="61"/>
        <v>0</v>
      </c>
      <c r="J239" s="244">
        <f>SUM(J240:J253)</f>
        <v>36919659.938050002</v>
      </c>
      <c r="K239" s="244">
        <f>SUM(K240:K253)</f>
        <v>36919659.938050002</v>
      </c>
      <c r="L239" s="72"/>
      <c r="M239" s="72">
        <f t="shared" ref="M239:R239" si="62">SUM(M240:M247)</f>
        <v>0</v>
      </c>
      <c r="N239" s="72">
        <f t="shared" si="62"/>
        <v>0</v>
      </c>
      <c r="O239" s="72">
        <f t="shared" si="62"/>
        <v>0</v>
      </c>
      <c r="P239" s="72">
        <f t="shared" si="62"/>
        <v>0</v>
      </c>
      <c r="Q239" s="72">
        <f t="shared" si="62"/>
        <v>0</v>
      </c>
      <c r="R239" s="72">
        <f t="shared" si="62"/>
        <v>0</v>
      </c>
      <c r="S239" s="72"/>
      <c r="T239" s="72"/>
      <c r="U239" s="72"/>
      <c r="V239" s="72">
        <f>SUM(V240:V247)</f>
        <v>0</v>
      </c>
    </row>
    <row r="240" spans="1:22">
      <c r="A240" s="91">
        <v>1</v>
      </c>
      <c r="B240" s="137" t="s">
        <v>1188</v>
      </c>
      <c r="C240" s="73">
        <f t="shared" ref="C240:C251" si="63">D240+J240</f>
        <v>29500000</v>
      </c>
      <c r="D240" s="73">
        <f t="shared" ref="D240:I240" si="64">SUM(D241:D304)</f>
        <v>0</v>
      </c>
      <c r="E240" s="73">
        <f t="shared" si="64"/>
        <v>0</v>
      </c>
      <c r="F240" s="73">
        <f t="shared" si="64"/>
        <v>0</v>
      </c>
      <c r="G240" s="73">
        <f t="shared" si="64"/>
        <v>0</v>
      </c>
      <c r="H240" s="73">
        <f t="shared" si="64"/>
        <v>0</v>
      </c>
      <c r="I240" s="73">
        <f t="shared" si="64"/>
        <v>0</v>
      </c>
      <c r="J240" s="73">
        <f t="shared" ref="J240" si="65">SUM(K240:V240)</f>
        <v>29500000</v>
      </c>
      <c r="K240" s="138">
        <f>'DTĐV 2020'!J455</f>
        <v>29500000</v>
      </c>
      <c r="L240" s="138"/>
      <c r="M240" s="138"/>
      <c r="N240" s="138"/>
      <c r="O240" s="138"/>
      <c r="P240" s="138"/>
      <c r="Q240" s="138"/>
      <c r="R240" s="138"/>
      <c r="S240" s="138"/>
      <c r="T240" s="138"/>
      <c r="U240" s="138"/>
      <c r="V240" s="138"/>
    </row>
    <row r="241" spans="1:22">
      <c r="A241" s="91">
        <v>2</v>
      </c>
      <c r="B241" s="137" t="s">
        <v>148</v>
      </c>
      <c r="C241" s="73">
        <f t="shared" si="63"/>
        <v>0</v>
      </c>
      <c r="D241" s="73">
        <f>E241</f>
        <v>0</v>
      </c>
      <c r="E241" s="73">
        <f>F241+G241</f>
        <v>0</v>
      </c>
      <c r="F241" s="73"/>
      <c r="G241" s="73"/>
      <c r="H241" s="73"/>
      <c r="I241" s="73"/>
      <c r="J241" s="73">
        <f>SUM(K241:V241)</f>
        <v>0</v>
      </c>
      <c r="K241" s="73"/>
      <c r="L241" s="73"/>
      <c r="M241" s="73"/>
      <c r="N241" s="73"/>
      <c r="O241" s="73"/>
      <c r="P241" s="138"/>
      <c r="Q241" s="73"/>
      <c r="R241" s="73"/>
      <c r="S241" s="73"/>
      <c r="T241" s="73"/>
      <c r="U241" s="73"/>
      <c r="V241" s="73"/>
    </row>
    <row r="242" spans="1:22">
      <c r="A242" s="91"/>
      <c r="B242" s="137" t="s">
        <v>586</v>
      </c>
      <c r="C242" s="73">
        <f t="shared" si="63"/>
        <v>165000</v>
      </c>
      <c r="D242" s="73"/>
      <c r="E242" s="73"/>
      <c r="F242" s="73"/>
      <c r="G242" s="73"/>
      <c r="H242" s="73"/>
      <c r="I242" s="73"/>
      <c r="J242" s="73">
        <f>SUM(K242:V242)</f>
        <v>165000</v>
      </c>
      <c r="K242" s="73">
        <f>'DTĐV 2020'!J459+'DTĐV 2020'!J463+'DTĐV 2020'!J467</f>
        <v>165000</v>
      </c>
      <c r="L242" s="73"/>
      <c r="M242" s="73"/>
      <c r="N242" s="73"/>
      <c r="O242" s="73"/>
      <c r="P242" s="138"/>
      <c r="Q242" s="73"/>
      <c r="R242" s="73"/>
      <c r="S242" s="73"/>
      <c r="T242" s="73"/>
      <c r="U242" s="73"/>
      <c r="V242" s="73"/>
    </row>
    <row r="243" spans="1:22">
      <c r="A243" s="91"/>
      <c r="B243" s="137" t="s">
        <v>581</v>
      </c>
      <c r="C243" s="73">
        <f t="shared" si="63"/>
        <v>90000</v>
      </c>
      <c r="D243" s="73"/>
      <c r="E243" s="73"/>
      <c r="F243" s="73"/>
      <c r="G243" s="73"/>
      <c r="H243" s="73"/>
      <c r="I243" s="73"/>
      <c r="J243" s="73">
        <f t="shared" ref="J243:J247" si="66">SUM(K243:V243)</f>
        <v>90000</v>
      </c>
      <c r="K243" s="73">
        <f>'DTĐV 2020'!J472</f>
        <v>90000</v>
      </c>
      <c r="L243" s="73"/>
      <c r="M243" s="73"/>
      <c r="N243" s="73"/>
      <c r="O243" s="73"/>
      <c r="P243" s="138"/>
      <c r="Q243" s="73"/>
      <c r="R243" s="73"/>
      <c r="S243" s="73"/>
      <c r="T243" s="73"/>
      <c r="U243" s="73"/>
      <c r="V243" s="73"/>
    </row>
    <row r="244" spans="1:22">
      <c r="A244" s="91">
        <v>3</v>
      </c>
      <c r="B244" s="137" t="s">
        <v>810</v>
      </c>
      <c r="C244" s="73">
        <f t="shared" si="63"/>
        <v>105000</v>
      </c>
      <c r="D244" s="73"/>
      <c r="E244" s="73"/>
      <c r="F244" s="73"/>
      <c r="G244" s="73"/>
      <c r="H244" s="73"/>
      <c r="I244" s="73"/>
      <c r="J244" s="73">
        <f t="shared" si="66"/>
        <v>105000</v>
      </c>
      <c r="K244" s="138">
        <f xml:space="preserve"> 'DTĐV 2020'!J482</f>
        <v>105000</v>
      </c>
      <c r="L244" s="138"/>
      <c r="M244" s="73"/>
      <c r="N244" s="73"/>
      <c r="O244" s="73"/>
      <c r="P244" s="73"/>
      <c r="Q244" s="73"/>
      <c r="R244" s="73"/>
      <c r="S244" s="73"/>
      <c r="T244" s="73"/>
      <c r="U244" s="73"/>
      <c r="V244" s="73"/>
    </row>
    <row r="245" spans="1:22">
      <c r="A245" s="91">
        <v>4</v>
      </c>
      <c r="B245" s="137" t="s">
        <v>671</v>
      </c>
      <c r="C245" s="73">
        <f t="shared" si="63"/>
        <v>372000</v>
      </c>
      <c r="D245" s="73"/>
      <c r="E245" s="73"/>
      <c r="F245" s="73"/>
      <c r="G245" s="73"/>
      <c r="H245" s="73"/>
      <c r="I245" s="73"/>
      <c r="J245" s="73">
        <f t="shared" si="66"/>
        <v>372000</v>
      </c>
      <c r="K245" s="138">
        <f>'DTĐV 2020'!J502</f>
        <v>372000</v>
      </c>
      <c r="L245" s="138"/>
      <c r="M245" s="73"/>
      <c r="N245" s="73"/>
      <c r="O245" s="73"/>
      <c r="P245" s="73"/>
      <c r="Q245" s="73"/>
      <c r="R245" s="73"/>
      <c r="S245" s="73"/>
      <c r="T245" s="73"/>
      <c r="U245" s="73"/>
      <c r="V245" s="73"/>
    </row>
    <row r="246" spans="1:22" ht="20.25" customHeight="1">
      <c r="A246" s="91">
        <v>5</v>
      </c>
      <c r="B246" s="137" t="s">
        <v>672</v>
      </c>
      <c r="C246" s="73">
        <f t="shared" si="63"/>
        <v>1924579.32605</v>
      </c>
      <c r="D246" s="73"/>
      <c r="E246" s="73"/>
      <c r="F246" s="73"/>
      <c r="G246" s="73"/>
      <c r="H246" s="73"/>
      <c r="I246" s="73"/>
      <c r="J246" s="73">
        <f t="shared" si="66"/>
        <v>1924579.32605</v>
      </c>
      <c r="K246" s="73">
        <f>'DTĐV 2020'!J519</f>
        <v>1924579.32605</v>
      </c>
      <c r="L246" s="73"/>
      <c r="M246" s="73"/>
      <c r="N246" s="73"/>
      <c r="O246" s="73"/>
      <c r="P246" s="138"/>
      <c r="Q246" s="73"/>
      <c r="R246" s="73"/>
      <c r="S246" s="73"/>
      <c r="T246" s="73"/>
      <c r="U246" s="73"/>
      <c r="V246" s="73"/>
    </row>
    <row r="247" spans="1:22">
      <c r="A247" s="91">
        <v>6</v>
      </c>
      <c r="B247" s="137" t="s">
        <v>599</v>
      </c>
      <c r="C247" s="73">
        <f t="shared" si="63"/>
        <v>481080.61199999996</v>
      </c>
      <c r="D247" s="73"/>
      <c r="E247" s="73"/>
      <c r="F247" s="73"/>
      <c r="G247" s="73"/>
      <c r="H247" s="73"/>
      <c r="I247" s="73"/>
      <c r="J247" s="73">
        <f t="shared" si="66"/>
        <v>481080.61199999996</v>
      </c>
      <c r="K247" s="138">
        <f>'DTĐV 2020'!J551</f>
        <v>481080.61199999996</v>
      </c>
      <c r="L247" s="138"/>
      <c r="M247" s="73"/>
      <c r="N247" s="73"/>
      <c r="O247" s="73"/>
      <c r="P247" s="73"/>
      <c r="Q247" s="73"/>
      <c r="R247" s="73"/>
      <c r="S247" s="73"/>
      <c r="T247" s="73"/>
      <c r="U247" s="73"/>
      <c r="V247" s="73"/>
    </row>
    <row r="248" spans="1:22">
      <c r="A248" s="91">
        <v>7</v>
      </c>
      <c r="B248" s="137" t="s">
        <v>213</v>
      </c>
      <c r="C248" s="73">
        <f t="shared" si="63"/>
        <v>300000</v>
      </c>
      <c r="D248" s="73"/>
      <c r="E248" s="73"/>
      <c r="F248" s="73"/>
      <c r="G248" s="73"/>
      <c r="H248" s="73"/>
      <c r="I248" s="73"/>
      <c r="J248" s="73">
        <f t="shared" ref="J248:J253" si="67">SUM(K248:V248)</f>
        <v>300000</v>
      </c>
      <c r="K248" s="138">
        <f>'DTĐV 2020'!J479</f>
        <v>300000</v>
      </c>
      <c r="L248" s="138"/>
      <c r="M248" s="73"/>
      <c r="N248" s="73"/>
      <c r="O248" s="73"/>
      <c r="P248" s="73"/>
      <c r="Q248" s="73"/>
      <c r="R248" s="73"/>
      <c r="S248" s="73"/>
      <c r="T248" s="73"/>
      <c r="U248" s="73"/>
      <c r="V248" s="73"/>
    </row>
    <row r="249" spans="1:22">
      <c r="A249" s="91">
        <v>8</v>
      </c>
      <c r="B249" s="137" t="s">
        <v>447</v>
      </c>
      <c r="C249" s="73">
        <f t="shared" si="63"/>
        <v>1900000</v>
      </c>
      <c r="D249" s="73"/>
      <c r="E249" s="73"/>
      <c r="F249" s="73"/>
      <c r="G249" s="73"/>
      <c r="H249" s="73"/>
      <c r="I249" s="73"/>
      <c r="J249" s="73">
        <f t="shared" si="67"/>
        <v>1900000</v>
      </c>
      <c r="K249" s="138">
        <f>'DTĐV 2020'!J480</f>
        <v>1900000</v>
      </c>
      <c r="L249" s="138"/>
      <c r="M249" s="73"/>
      <c r="N249" s="73"/>
      <c r="O249" s="73"/>
      <c r="P249" s="73"/>
      <c r="Q249" s="73"/>
      <c r="R249" s="73"/>
      <c r="S249" s="73"/>
      <c r="T249" s="73"/>
      <c r="U249" s="73"/>
      <c r="V249" s="73"/>
    </row>
    <row r="250" spans="1:22">
      <c r="A250" s="91">
        <v>9</v>
      </c>
      <c r="B250" s="137" t="s">
        <v>518</v>
      </c>
      <c r="C250" s="73">
        <f t="shared" si="63"/>
        <v>1632000</v>
      </c>
      <c r="D250" s="73"/>
      <c r="E250" s="73"/>
      <c r="F250" s="73"/>
      <c r="G250" s="73"/>
      <c r="H250" s="73"/>
      <c r="I250" s="73"/>
      <c r="J250" s="73">
        <f t="shared" si="67"/>
        <v>1632000</v>
      </c>
      <c r="K250" s="138">
        <f>'DTĐV 2020'!J481</f>
        <v>1632000</v>
      </c>
      <c r="L250" s="138"/>
      <c r="M250" s="73"/>
      <c r="N250" s="73"/>
      <c r="O250" s="73"/>
      <c r="P250" s="73"/>
      <c r="Q250" s="73"/>
      <c r="R250" s="73"/>
      <c r="S250" s="73"/>
      <c r="T250" s="73"/>
      <c r="U250" s="73"/>
      <c r="V250" s="73"/>
    </row>
    <row r="251" spans="1:22">
      <c r="A251" s="91">
        <v>10</v>
      </c>
      <c r="B251" s="137" t="s">
        <v>677</v>
      </c>
      <c r="C251" s="73">
        <f t="shared" si="63"/>
        <v>100000</v>
      </c>
      <c r="D251" s="73"/>
      <c r="E251" s="73"/>
      <c r="F251" s="73"/>
      <c r="G251" s="73"/>
      <c r="H251" s="73"/>
      <c r="I251" s="73"/>
      <c r="J251" s="73">
        <f t="shared" si="67"/>
        <v>100000</v>
      </c>
      <c r="K251" s="138">
        <f>'DTĐV 2020'!J593</f>
        <v>100000</v>
      </c>
      <c r="L251" s="138"/>
      <c r="M251" s="73"/>
      <c r="N251" s="73"/>
      <c r="O251" s="73"/>
      <c r="P251" s="73"/>
      <c r="Q251" s="73"/>
      <c r="R251" s="73"/>
      <c r="S251" s="73"/>
      <c r="T251" s="73"/>
      <c r="U251" s="73"/>
      <c r="V251" s="73"/>
    </row>
    <row r="252" spans="1:22">
      <c r="A252" s="91">
        <v>11</v>
      </c>
      <c r="B252" s="137" t="s">
        <v>196</v>
      </c>
      <c r="C252" s="73">
        <f>D252+J252</f>
        <v>100000</v>
      </c>
      <c r="D252" s="73"/>
      <c r="E252" s="73"/>
      <c r="F252" s="73"/>
      <c r="G252" s="73"/>
      <c r="H252" s="73"/>
      <c r="I252" s="73"/>
      <c r="J252" s="73">
        <f t="shared" si="67"/>
        <v>100000</v>
      </c>
      <c r="K252" s="138">
        <f>'DTĐV 2020'!J592</f>
        <v>100000</v>
      </c>
      <c r="L252" s="138"/>
      <c r="M252" s="73"/>
      <c r="N252" s="73"/>
      <c r="O252" s="73"/>
      <c r="P252" s="73"/>
      <c r="Q252" s="73"/>
      <c r="R252" s="73"/>
      <c r="S252" s="73"/>
      <c r="T252" s="73"/>
      <c r="U252" s="73"/>
      <c r="V252" s="73"/>
    </row>
    <row r="253" spans="1:22" ht="31.5">
      <c r="A253" s="91">
        <v>12</v>
      </c>
      <c r="B253" s="137" t="s">
        <v>1006</v>
      </c>
      <c r="C253" s="73">
        <f>D253+J253</f>
        <v>250000</v>
      </c>
      <c r="D253" s="73"/>
      <c r="E253" s="73"/>
      <c r="F253" s="73"/>
      <c r="G253" s="73"/>
      <c r="H253" s="73"/>
      <c r="I253" s="73"/>
      <c r="J253" s="73">
        <f t="shared" si="67"/>
        <v>250000</v>
      </c>
      <c r="K253" s="138">
        <f>'DTĐV 2020'!J594</f>
        <v>250000</v>
      </c>
      <c r="L253" s="138"/>
      <c r="M253" s="73"/>
      <c r="N253" s="73"/>
      <c r="O253" s="73"/>
      <c r="P253" s="73"/>
      <c r="Q253" s="73"/>
      <c r="R253" s="73"/>
      <c r="S253" s="73"/>
      <c r="T253" s="73"/>
      <c r="U253" s="73"/>
      <c r="V253" s="73"/>
    </row>
    <row r="254" spans="1:22">
      <c r="A254" s="135" t="s">
        <v>85</v>
      </c>
      <c r="B254" s="136" t="s">
        <v>579</v>
      </c>
      <c r="C254" s="72">
        <f>C255+C256+C257</f>
        <v>19000000</v>
      </c>
      <c r="D254" s="73"/>
      <c r="E254" s="73"/>
      <c r="F254" s="73"/>
      <c r="G254" s="73"/>
      <c r="H254" s="73"/>
      <c r="I254" s="73"/>
      <c r="J254" s="103">
        <f>J255+J256+J257</f>
        <v>19000000</v>
      </c>
      <c r="K254" s="138"/>
      <c r="L254" s="103">
        <f>L255+L256+L257</f>
        <v>19000000</v>
      </c>
      <c r="M254" s="73"/>
      <c r="N254" s="73"/>
      <c r="O254" s="73"/>
      <c r="P254" s="73"/>
      <c r="Q254" s="73"/>
      <c r="R254" s="73"/>
      <c r="S254" s="73"/>
      <c r="T254" s="73"/>
      <c r="U254" s="73"/>
      <c r="V254" s="73"/>
    </row>
    <row r="255" spans="1:22" ht="31.5">
      <c r="A255" s="344">
        <v>1</v>
      </c>
      <c r="B255" s="574" t="s">
        <v>1467</v>
      </c>
      <c r="C255" s="73">
        <f t="shared" ref="C255" si="68">D255+J255</f>
        <v>13000000</v>
      </c>
      <c r="D255" s="73"/>
      <c r="E255" s="73"/>
      <c r="F255" s="73"/>
      <c r="G255" s="73"/>
      <c r="H255" s="73"/>
      <c r="I255" s="73"/>
      <c r="J255" s="73">
        <f>SUM(K255:V255)</f>
        <v>13000000</v>
      </c>
      <c r="K255" s="138"/>
      <c r="L255" s="138">
        <f>'DTĐV 2020'!J596</f>
        <v>13000000</v>
      </c>
      <c r="M255" s="73"/>
      <c r="N255" s="73"/>
      <c r="O255" s="73"/>
      <c r="P255" s="73"/>
      <c r="Q255" s="73"/>
      <c r="R255" s="73"/>
      <c r="S255" s="73"/>
      <c r="T255" s="73"/>
      <c r="U255" s="73"/>
      <c r="V255" s="73"/>
    </row>
    <row r="256" spans="1:22" ht="64.5" customHeight="1">
      <c r="A256" s="344">
        <v>2</v>
      </c>
      <c r="B256" s="574" t="s">
        <v>1469</v>
      </c>
      <c r="C256" s="73">
        <f>D256+J256</f>
        <v>1000000</v>
      </c>
      <c r="D256" s="73"/>
      <c r="E256" s="73"/>
      <c r="F256" s="73"/>
      <c r="G256" s="73"/>
      <c r="H256" s="73"/>
      <c r="I256" s="73"/>
      <c r="J256" s="73">
        <f>SUM(K256:V256)</f>
        <v>1000000</v>
      </c>
      <c r="K256" s="138"/>
      <c r="L256" s="138">
        <v>1000000</v>
      </c>
      <c r="M256" s="73"/>
      <c r="N256" s="73"/>
      <c r="O256" s="73"/>
      <c r="P256" s="73"/>
      <c r="Q256" s="73"/>
      <c r="R256" s="73"/>
      <c r="S256" s="73"/>
      <c r="T256" s="73"/>
      <c r="U256" s="73"/>
      <c r="V256" s="73"/>
    </row>
    <row r="257" spans="1:22" ht="17.25" customHeight="1">
      <c r="A257" s="344">
        <v>3</v>
      </c>
      <c r="B257" s="923" t="s">
        <v>1637</v>
      </c>
      <c r="C257" s="73">
        <f>D257+J257</f>
        <v>5000000</v>
      </c>
      <c r="D257" s="73"/>
      <c r="E257" s="73"/>
      <c r="F257" s="73"/>
      <c r="G257" s="73"/>
      <c r="H257" s="73"/>
      <c r="I257" s="73"/>
      <c r="J257" s="73">
        <f>SUM(K257:V257)</f>
        <v>5000000</v>
      </c>
      <c r="K257" s="138"/>
      <c r="L257" s="138">
        <v>5000000</v>
      </c>
      <c r="M257" s="73"/>
      <c r="N257" s="73"/>
      <c r="O257" s="73"/>
      <c r="P257" s="73"/>
      <c r="Q257" s="73"/>
      <c r="R257" s="73"/>
      <c r="S257" s="73"/>
      <c r="T257" s="73"/>
      <c r="U257" s="73"/>
      <c r="V257" s="73"/>
    </row>
    <row r="258" spans="1:22">
      <c r="A258" s="135" t="s">
        <v>565</v>
      </c>
      <c r="B258" s="136" t="s">
        <v>600</v>
      </c>
      <c r="C258" s="72">
        <f t="shared" ref="C258:K258" si="69">SUM(C259:C260)</f>
        <v>122733343.202025</v>
      </c>
      <c r="D258" s="72">
        <f t="shared" si="69"/>
        <v>0</v>
      </c>
      <c r="E258" s="72">
        <f t="shared" si="69"/>
        <v>0</v>
      </c>
      <c r="F258" s="72">
        <f t="shared" si="69"/>
        <v>0</v>
      </c>
      <c r="G258" s="72">
        <f t="shared" si="69"/>
        <v>0</v>
      </c>
      <c r="H258" s="72">
        <f t="shared" si="69"/>
        <v>0</v>
      </c>
      <c r="I258" s="72">
        <f t="shared" si="69"/>
        <v>0</v>
      </c>
      <c r="J258" s="266">
        <f>SUM(J259:J260)</f>
        <v>122733343.202025</v>
      </c>
      <c r="K258" s="72">
        <f t="shared" si="69"/>
        <v>0</v>
      </c>
      <c r="L258" s="72"/>
      <c r="M258" s="72">
        <f>SUM(M259:M260)</f>
        <v>122733343.202025</v>
      </c>
      <c r="N258" s="72">
        <f t="shared" ref="N258:R258" si="70">SUM(N259:N260)</f>
        <v>0</v>
      </c>
      <c r="O258" s="72">
        <f t="shared" si="70"/>
        <v>0</v>
      </c>
      <c r="P258" s="72">
        <f t="shared" si="70"/>
        <v>0</v>
      </c>
      <c r="Q258" s="72">
        <f t="shared" si="70"/>
        <v>0</v>
      </c>
      <c r="R258" s="72">
        <f t="shared" si="70"/>
        <v>0</v>
      </c>
      <c r="S258" s="72"/>
      <c r="T258" s="72"/>
      <c r="U258" s="72"/>
      <c r="V258" s="72">
        <f>SUM(V259:V260)</f>
        <v>0</v>
      </c>
    </row>
    <row r="259" spans="1:22">
      <c r="A259" s="91">
        <v>1</v>
      </c>
      <c r="B259" s="137" t="s">
        <v>309</v>
      </c>
      <c r="C259" s="73">
        <f>D259+J259</f>
        <v>945343.20202500001</v>
      </c>
      <c r="D259" s="73">
        <f>E259</f>
        <v>0</v>
      </c>
      <c r="E259" s="73">
        <f>F259+G259</f>
        <v>0</v>
      </c>
      <c r="F259" s="73"/>
      <c r="G259" s="73"/>
      <c r="H259" s="73"/>
      <c r="I259" s="73"/>
      <c r="J259" s="267">
        <f>SUM(K259:V259)</f>
        <v>945343.20202500001</v>
      </c>
      <c r="K259" s="73"/>
      <c r="L259" s="73"/>
      <c r="M259" s="73">
        <f>'DTĐV 2020'!J600</f>
        <v>945343.20202500001</v>
      </c>
      <c r="N259" s="73"/>
      <c r="O259" s="73"/>
      <c r="P259" s="138"/>
      <c r="Q259" s="73"/>
      <c r="R259" s="73"/>
      <c r="S259" s="73"/>
      <c r="T259" s="73"/>
      <c r="U259" s="73"/>
      <c r="V259" s="73"/>
    </row>
    <row r="260" spans="1:22">
      <c r="A260" s="91">
        <v>2</v>
      </c>
      <c r="B260" s="137" t="s">
        <v>1149</v>
      </c>
      <c r="C260" s="73">
        <f>D260+J260</f>
        <v>121788000</v>
      </c>
      <c r="D260" s="73"/>
      <c r="E260" s="73"/>
      <c r="F260" s="73"/>
      <c r="G260" s="73"/>
      <c r="H260" s="73"/>
      <c r="I260" s="73"/>
      <c r="J260" s="267">
        <f>SUM(K260:V260)</f>
        <v>121788000</v>
      </c>
      <c r="K260" s="73"/>
      <c r="L260" s="73"/>
      <c r="M260" s="73">
        <f>'DTĐV 2020'!J622</f>
        <v>121788000</v>
      </c>
      <c r="N260" s="73"/>
      <c r="O260" s="73"/>
      <c r="P260" s="73"/>
      <c r="Q260" s="73"/>
      <c r="R260" s="73"/>
      <c r="S260" s="73"/>
      <c r="T260" s="73"/>
      <c r="U260" s="73"/>
      <c r="V260" s="73"/>
    </row>
    <row r="261" spans="1:22">
      <c r="A261" s="135" t="s">
        <v>562</v>
      </c>
      <c r="B261" s="136" t="s">
        <v>1193</v>
      </c>
      <c r="C261" s="72">
        <f>C262</f>
        <v>2955018.238655</v>
      </c>
      <c r="D261" s="72">
        <f t="shared" ref="D261:V261" si="71">D262</f>
        <v>0</v>
      </c>
      <c r="E261" s="72">
        <f t="shared" si="71"/>
        <v>0</v>
      </c>
      <c r="F261" s="72">
        <f t="shared" si="71"/>
        <v>0</v>
      </c>
      <c r="G261" s="72">
        <f t="shared" si="71"/>
        <v>0</v>
      </c>
      <c r="H261" s="72">
        <f t="shared" si="71"/>
        <v>0</v>
      </c>
      <c r="I261" s="72">
        <f t="shared" si="71"/>
        <v>0</v>
      </c>
      <c r="J261" s="268">
        <f>J262</f>
        <v>2955018.238655</v>
      </c>
      <c r="K261" s="72">
        <f t="shared" si="71"/>
        <v>0</v>
      </c>
      <c r="L261" s="72"/>
      <c r="M261" s="72">
        <f t="shared" si="71"/>
        <v>0</v>
      </c>
      <c r="N261" s="72">
        <f>N262</f>
        <v>2955018.238655</v>
      </c>
      <c r="O261" s="72">
        <f t="shared" si="71"/>
        <v>0</v>
      </c>
      <c r="P261" s="72">
        <f t="shared" si="71"/>
        <v>0</v>
      </c>
      <c r="Q261" s="72">
        <f t="shared" si="71"/>
        <v>0</v>
      </c>
      <c r="R261" s="72">
        <f t="shared" si="71"/>
        <v>0</v>
      </c>
      <c r="S261" s="72"/>
      <c r="T261" s="72"/>
      <c r="U261" s="72"/>
      <c r="V261" s="72">
        <f t="shared" si="71"/>
        <v>0</v>
      </c>
    </row>
    <row r="262" spans="1:22">
      <c r="A262" s="91">
        <v>1</v>
      </c>
      <c r="B262" s="137" t="s">
        <v>1194</v>
      </c>
      <c r="C262" s="73">
        <f>D262+J262</f>
        <v>2955018.238655</v>
      </c>
      <c r="D262" s="73">
        <f>E262</f>
        <v>0</v>
      </c>
      <c r="E262" s="73">
        <f>F262+G262</f>
        <v>0</v>
      </c>
      <c r="F262" s="73"/>
      <c r="G262" s="73"/>
      <c r="H262" s="73"/>
      <c r="I262" s="73"/>
      <c r="J262" s="269">
        <f>SUM(K262:V262)</f>
        <v>2955018.238655</v>
      </c>
      <c r="K262" s="73"/>
      <c r="L262" s="73"/>
      <c r="M262" s="73"/>
      <c r="N262" s="73">
        <f>'DTĐV 2020'!J626</f>
        <v>2955018.238655</v>
      </c>
      <c r="O262" s="73"/>
      <c r="P262" s="138"/>
      <c r="Q262" s="73"/>
      <c r="R262" s="73"/>
      <c r="S262" s="73"/>
      <c r="T262" s="73"/>
      <c r="U262" s="73"/>
      <c r="V262" s="73"/>
    </row>
    <row r="263" spans="1:22">
      <c r="A263" s="135" t="s">
        <v>289</v>
      </c>
      <c r="B263" s="136" t="s">
        <v>232</v>
      </c>
      <c r="C263" s="72">
        <f>SUM(C264:C281)-1</f>
        <v>10564540.606999999</v>
      </c>
      <c r="D263" s="72">
        <f t="shared" ref="D263:I263" si="72">SUM(D264:D279)</f>
        <v>0</v>
      </c>
      <c r="E263" s="72">
        <f t="shared" si="72"/>
        <v>0</v>
      </c>
      <c r="F263" s="72">
        <f t="shared" si="72"/>
        <v>0</v>
      </c>
      <c r="G263" s="72">
        <f t="shared" si="72"/>
        <v>0</v>
      </c>
      <c r="H263" s="72">
        <f t="shared" si="72"/>
        <v>0</v>
      </c>
      <c r="I263" s="72">
        <f t="shared" si="72"/>
        <v>0</v>
      </c>
      <c r="J263" s="72">
        <f>SUM(J264:J281)-1</f>
        <v>10564540.606999999</v>
      </c>
      <c r="K263" s="72">
        <f t="shared" ref="K263:N263" si="73">SUM(K264:K279)</f>
        <v>0</v>
      </c>
      <c r="L263" s="72">
        <f t="shared" si="73"/>
        <v>0</v>
      </c>
      <c r="M263" s="72">
        <f t="shared" si="73"/>
        <v>0</v>
      </c>
      <c r="N263" s="72">
        <f t="shared" si="73"/>
        <v>0</v>
      </c>
      <c r="O263" s="72">
        <f>SUM(O264:O281)-1</f>
        <v>10564540.606999999</v>
      </c>
      <c r="P263" s="72">
        <f t="shared" ref="P263:Q263" si="74">SUM(P264:P279)</f>
        <v>0</v>
      </c>
      <c r="Q263" s="72">
        <f t="shared" si="74"/>
        <v>0</v>
      </c>
      <c r="R263" s="72">
        <f>SUM(R264:R267)</f>
        <v>0</v>
      </c>
      <c r="S263" s="72"/>
      <c r="T263" s="72"/>
      <c r="U263" s="72"/>
      <c r="V263" s="72">
        <f>SUM(V264:V267)</f>
        <v>0</v>
      </c>
    </row>
    <row r="264" spans="1:22">
      <c r="A264" s="344">
        <v>1</v>
      </c>
      <c r="B264" s="137" t="s">
        <v>601</v>
      </c>
      <c r="C264" s="73">
        <f>D264+J264</f>
        <v>564800</v>
      </c>
      <c r="D264" s="73"/>
      <c r="E264" s="73"/>
      <c r="F264" s="73"/>
      <c r="G264" s="73"/>
      <c r="H264" s="73"/>
      <c r="I264" s="73"/>
      <c r="J264" s="267">
        <f>SUM(K264:V264)</f>
        <v>564800</v>
      </c>
      <c r="K264" s="73"/>
      <c r="L264" s="73"/>
      <c r="M264" s="73"/>
      <c r="N264" s="73"/>
      <c r="O264" s="73">
        <f>'DTĐV 2020'!J777</f>
        <v>564800</v>
      </c>
      <c r="P264" s="138"/>
      <c r="Q264" s="73"/>
      <c r="R264" s="73"/>
      <c r="S264" s="73"/>
      <c r="T264" s="73"/>
      <c r="U264" s="73"/>
      <c r="V264" s="73"/>
    </row>
    <row r="265" spans="1:22" ht="31.5">
      <c r="A265" s="344">
        <v>2</v>
      </c>
      <c r="B265" s="137" t="s">
        <v>1595</v>
      </c>
      <c r="C265" s="73">
        <f>D265+J265</f>
        <v>1060000</v>
      </c>
      <c r="D265" s="73">
        <f>E265</f>
        <v>0</v>
      </c>
      <c r="E265" s="73">
        <f>F265+G265</f>
        <v>0</v>
      </c>
      <c r="F265" s="73"/>
      <c r="G265" s="73"/>
      <c r="H265" s="73"/>
      <c r="I265" s="73"/>
      <c r="J265" s="267">
        <f>SUM(K265:V265)</f>
        <v>1060000</v>
      </c>
      <c r="K265" s="73"/>
      <c r="L265" s="73"/>
      <c r="M265" s="73"/>
      <c r="N265" s="73"/>
      <c r="O265" s="73">
        <f>'DTĐV 2020'!J786</f>
        <v>1060000</v>
      </c>
      <c r="P265" s="138"/>
      <c r="Q265" s="73"/>
      <c r="R265" s="73"/>
      <c r="S265" s="73"/>
      <c r="T265" s="73"/>
      <c r="U265" s="73"/>
      <c r="V265" s="73"/>
    </row>
    <row r="266" spans="1:22">
      <c r="A266" s="344">
        <v>3</v>
      </c>
      <c r="B266" s="137" t="s">
        <v>573</v>
      </c>
      <c r="C266" s="73">
        <f>D266+J266</f>
        <v>80460</v>
      </c>
      <c r="D266" s="73">
        <f>E266</f>
        <v>0</v>
      </c>
      <c r="E266" s="73">
        <f>F266+G266</f>
        <v>0</v>
      </c>
      <c r="F266" s="73"/>
      <c r="G266" s="73"/>
      <c r="H266" s="73"/>
      <c r="I266" s="73"/>
      <c r="J266" s="267">
        <f>SUM(K266:V266)</f>
        <v>80460</v>
      </c>
      <c r="K266" s="73"/>
      <c r="L266" s="73"/>
      <c r="M266" s="73"/>
      <c r="N266" s="73"/>
      <c r="O266" s="73">
        <f>'DTĐV 2020'!J789</f>
        <v>80460</v>
      </c>
      <c r="P266" s="138"/>
      <c r="Q266" s="73"/>
      <c r="R266" s="73"/>
      <c r="S266" s="73"/>
      <c r="T266" s="73"/>
      <c r="U266" s="73"/>
      <c r="V266" s="73"/>
    </row>
    <row r="267" spans="1:22">
      <c r="A267" s="344">
        <v>4</v>
      </c>
      <c r="B267" s="137" t="s">
        <v>602</v>
      </c>
      <c r="C267" s="73">
        <f>D267+J267</f>
        <v>80460</v>
      </c>
      <c r="D267" s="73"/>
      <c r="E267" s="73"/>
      <c r="F267" s="73"/>
      <c r="G267" s="73"/>
      <c r="H267" s="73"/>
      <c r="I267" s="73"/>
      <c r="J267" s="267">
        <f>SUM(K267:V267)</f>
        <v>80460</v>
      </c>
      <c r="K267" s="73"/>
      <c r="L267" s="73"/>
      <c r="M267" s="73"/>
      <c r="N267" s="73"/>
      <c r="O267" s="73">
        <f>'DTĐV 2020'!J791</f>
        <v>80460</v>
      </c>
      <c r="P267" s="138"/>
      <c r="Q267" s="73"/>
      <c r="R267" s="73"/>
      <c r="S267" s="73"/>
      <c r="T267" s="73"/>
      <c r="U267" s="73"/>
      <c r="V267" s="73"/>
    </row>
    <row r="268" spans="1:22" ht="31.5">
      <c r="A268" s="344">
        <v>5</v>
      </c>
      <c r="B268" s="680" t="s">
        <v>537</v>
      </c>
      <c r="C268" s="73">
        <f>D268+J268</f>
        <v>7000000</v>
      </c>
      <c r="D268" s="73"/>
      <c r="E268" s="73"/>
      <c r="F268" s="73"/>
      <c r="G268" s="73"/>
      <c r="H268" s="73"/>
      <c r="I268" s="73"/>
      <c r="J268" s="267">
        <f>SUM(K268:V268)</f>
        <v>7000000</v>
      </c>
      <c r="K268" s="73"/>
      <c r="L268" s="73"/>
      <c r="M268" s="73"/>
      <c r="N268" s="73"/>
      <c r="O268" s="73">
        <f>'DTĐV 2020'!J793</f>
        <v>7000000</v>
      </c>
      <c r="P268" s="138"/>
      <c r="Q268" s="73"/>
      <c r="R268" s="73"/>
      <c r="S268" s="73"/>
      <c r="T268" s="73"/>
      <c r="U268" s="73"/>
      <c r="V268" s="73"/>
    </row>
    <row r="269" spans="1:22">
      <c r="A269" s="344">
        <v>6</v>
      </c>
      <c r="B269" s="137" t="s">
        <v>221</v>
      </c>
      <c r="C269" s="73">
        <f t="shared" ref="C269" si="75">D269+J269</f>
        <v>352067.59799999994</v>
      </c>
      <c r="D269" s="73"/>
      <c r="E269" s="73"/>
      <c r="F269" s="73"/>
      <c r="G269" s="73"/>
      <c r="H269" s="73"/>
      <c r="I269" s="73"/>
      <c r="J269" s="267">
        <f t="shared" ref="J269:J271" si="76">SUM(K269:V269)</f>
        <v>352067.59799999994</v>
      </c>
      <c r="K269" s="73"/>
      <c r="L269" s="73"/>
      <c r="M269" s="73"/>
      <c r="N269" s="73"/>
      <c r="O269" s="73">
        <f>'DTĐV 2020'!J796</f>
        <v>352067.59799999994</v>
      </c>
      <c r="P269" s="138"/>
      <c r="Q269" s="73"/>
      <c r="R269" s="73"/>
      <c r="S269" s="73"/>
      <c r="T269" s="73"/>
      <c r="U269" s="73"/>
      <c r="V269" s="73"/>
    </row>
    <row r="270" spans="1:22">
      <c r="A270" s="344">
        <v>7</v>
      </c>
      <c r="B270" s="137" t="s">
        <v>353</v>
      </c>
      <c r="C270" s="73">
        <f>D270+J270</f>
        <v>211501.26</v>
      </c>
      <c r="D270" s="73"/>
      <c r="E270" s="73"/>
      <c r="F270" s="73"/>
      <c r="G270" s="73"/>
      <c r="H270" s="73"/>
      <c r="I270" s="73"/>
      <c r="J270" s="267">
        <f t="shared" si="76"/>
        <v>211501.26</v>
      </c>
      <c r="K270" s="73"/>
      <c r="L270" s="73"/>
      <c r="M270" s="73"/>
      <c r="N270" s="73"/>
      <c r="O270" s="73">
        <f>'DTĐV 2020'!J821</f>
        <v>211501.26</v>
      </c>
      <c r="P270" s="138"/>
      <c r="Q270" s="73"/>
      <c r="R270" s="73"/>
      <c r="S270" s="73"/>
      <c r="T270" s="73"/>
      <c r="U270" s="73"/>
      <c r="V270" s="73"/>
    </row>
    <row r="271" spans="1:22">
      <c r="A271" s="344">
        <v>8</v>
      </c>
      <c r="B271" s="137" t="s">
        <v>262</v>
      </c>
      <c r="C271" s="73">
        <f>D271+J271</f>
        <v>198772.74900000001</v>
      </c>
      <c r="D271" s="73"/>
      <c r="E271" s="73"/>
      <c r="F271" s="73"/>
      <c r="G271" s="73"/>
      <c r="H271" s="73"/>
      <c r="I271" s="73"/>
      <c r="J271" s="267">
        <f t="shared" si="76"/>
        <v>198772.74900000001</v>
      </c>
      <c r="K271" s="73"/>
      <c r="L271" s="73"/>
      <c r="M271" s="73"/>
      <c r="N271" s="73"/>
      <c r="O271" s="73">
        <f>'DTĐV 2020'!J848</f>
        <v>198772.74900000001</v>
      </c>
      <c r="P271" s="138"/>
      <c r="Q271" s="73"/>
      <c r="R271" s="73"/>
      <c r="S271" s="73"/>
      <c r="T271" s="73"/>
      <c r="U271" s="73"/>
      <c r="V271" s="73"/>
    </row>
    <row r="272" spans="1:22">
      <c r="A272" s="344">
        <v>9</v>
      </c>
      <c r="B272" s="137" t="s">
        <v>224</v>
      </c>
      <c r="C272" s="73">
        <f t="shared" ref="C272:C281" si="77">D272+J272</f>
        <v>20000</v>
      </c>
      <c r="D272" s="73"/>
      <c r="E272" s="73"/>
      <c r="F272" s="73"/>
      <c r="G272" s="73"/>
      <c r="H272" s="73"/>
      <c r="I272" s="73"/>
      <c r="J272" s="267">
        <f>SUM(K272:V272)</f>
        <v>20000</v>
      </c>
      <c r="K272" s="73"/>
      <c r="L272" s="73"/>
      <c r="M272" s="73"/>
      <c r="N272" s="73"/>
      <c r="O272" s="73">
        <f>'DTĐV 2020'!J871</f>
        <v>20000</v>
      </c>
      <c r="P272" s="138"/>
      <c r="Q272" s="73"/>
      <c r="R272" s="73"/>
      <c r="S272" s="73"/>
      <c r="T272" s="73"/>
      <c r="U272" s="73"/>
      <c r="V272" s="73"/>
    </row>
    <row r="273" spans="1:22">
      <c r="A273" s="344">
        <v>10</v>
      </c>
      <c r="B273" s="137" t="s">
        <v>354</v>
      </c>
      <c r="C273" s="73">
        <f t="shared" si="77"/>
        <v>40000</v>
      </c>
      <c r="D273" s="73"/>
      <c r="E273" s="73"/>
      <c r="F273" s="73"/>
      <c r="G273" s="73"/>
      <c r="H273" s="73"/>
      <c r="I273" s="73"/>
      <c r="J273" s="267">
        <f>SUM(K273:V273)</f>
        <v>40000</v>
      </c>
      <c r="K273" s="73"/>
      <c r="L273" s="73"/>
      <c r="M273" s="73"/>
      <c r="N273" s="73"/>
      <c r="O273" s="73">
        <f>'DTĐV 2020'!J872</f>
        <v>40000</v>
      </c>
      <c r="P273" s="138"/>
      <c r="Q273" s="73"/>
      <c r="R273" s="73"/>
      <c r="S273" s="73"/>
      <c r="T273" s="73"/>
      <c r="U273" s="73"/>
      <c r="V273" s="73"/>
    </row>
    <row r="274" spans="1:22">
      <c r="A274" s="344">
        <v>11</v>
      </c>
      <c r="B274" s="137" t="s">
        <v>1596</v>
      </c>
      <c r="C274" s="73">
        <f t="shared" si="77"/>
        <v>116220</v>
      </c>
      <c r="D274" s="73"/>
      <c r="E274" s="73"/>
      <c r="F274" s="73"/>
      <c r="G274" s="73"/>
      <c r="H274" s="73"/>
      <c r="I274" s="73"/>
      <c r="J274" s="267">
        <f t="shared" ref="J274:J306" si="78">SUM(K274:V274)</f>
        <v>116220</v>
      </c>
      <c r="K274" s="73"/>
      <c r="L274" s="73"/>
      <c r="M274" s="73"/>
      <c r="N274" s="73"/>
      <c r="O274" s="73">
        <f>'DTĐV 2020'!J873</f>
        <v>116220</v>
      </c>
      <c r="P274" s="138"/>
      <c r="Q274" s="73"/>
      <c r="R274" s="73"/>
      <c r="S274" s="73"/>
      <c r="T274" s="73"/>
      <c r="U274" s="73"/>
      <c r="V274" s="73"/>
    </row>
    <row r="275" spans="1:22">
      <c r="A275" s="344">
        <v>12</v>
      </c>
      <c r="B275" s="137" t="s">
        <v>223</v>
      </c>
      <c r="C275" s="73">
        <f t="shared" si="77"/>
        <v>80460</v>
      </c>
      <c r="D275" s="73"/>
      <c r="E275" s="73"/>
      <c r="F275" s="73"/>
      <c r="G275" s="73"/>
      <c r="H275" s="73"/>
      <c r="I275" s="73"/>
      <c r="J275" s="267">
        <f t="shared" si="78"/>
        <v>80460</v>
      </c>
      <c r="K275" s="73"/>
      <c r="L275" s="73"/>
      <c r="M275" s="73"/>
      <c r="N275" s="73"/>
      <c r="O275" s="73">
        <f>'DTĐV 2020'!J877</f>
        <v>80460</v>
      </c>
      <c r="P275" s="138"/>
      <c r="Q275" s="73"/>
      <c r="R275" s="73"/>
      <c r="S275" s="73"/>
      <c r="T275" s="73"/>
      <c r="U275" s="73"/>
      <c r="V275" s="73"/>
    </row>
    <row r="276" spans="1:22">
      <c r="A276" s="344">
        <v>13</v>
      </c>
      <c r="B276" s="137" t="s">
        <v>574</v>
      </c>
      <c r="C276" s="73">
        <f t="shared" si="77"/>
        <v>20000</v>
      </c>
      <c r="D276" s="73"/>
      <c r="E276" s="73"/>
      <c r="F276" s="73"/>
      <c r="G276" s="73"/>
      <c r="H276" s="73"/>
      <c r="I276" s="73"/>
      <c r="J276" s="267">
        <f t="shared" si="78"/>
        <v>20000</v>
      </c>
      <c r="K276" s="73"/>
      <c r="L276" s="73"/>
      <c r="M276" s="73"/>
      <c r="N276" s="73"/>
      <c r="O276" s="73">
        <f>'DTĐV 2020'!J880</f>
        <v>20000</v>
      </c>
      <c r="P276" s="138"/>
      <c r="Q276" s="73"/>
      <c r="R276" s="73"/>
      <c r="S276" s="73"/>
      <c r="T276" s="73"/>
      <c r="U276" s="73"/>
      <c r="V276" s="73"/>
    </row>
    <row r="277" spans="1:22">
      <c r="A277" s="344">
        <v>14</v>
      </c>
      <c r="B277" s="193" t="s">
        <v>589</v>
      </c>
      <c r="C277" s="73">
        <f t="shared" si="77"/>
        <v>20000</v>
      </c>
      <c r="D277" s="73"/>
      <c r="E277" s="73"/>
      <c r="F277" s="73"/>
      <c r="G277" s="73"/>
      <c r="H277" s="73"/>
      <c r="I277" s="73"/>
      <c r="J277" s="267">
        <f t="shared" si="78"/>
        <v>20000</v>
      </c>
      <c r="K277" s="73"/>
      <c r="L277" s="73"/>
      <c r="M277" s="73"/>
      <c r="N277" s="73"/>
      <c r="O277" s="73">
        <f>'DTĐV 2020'!J882</f>
        <v>20000</v>
      </c>
      <c r="P277" s="138"/>
      <c r="Q277" s="73"/>
      <c r="R277" s="73"/>
      <c r="S277" s="73"/>
      <c r="T277" s="73"/>
      <c r="U277" s="73"/>
      <c r="V277" s="73"/>
    </row>
    <row r="278" spans="1:22">
      <c r="A278" s="344">
        <v>15</v>
      </c>
      <c r="B278" s="193" t="s">
        <v>656</v>
      </c>
      <c r="C278" s="73">
        <f t="shared" si="77"/>
        <v>20000</v>
      </c>
      <c r="D278" s="73"/>
      <c r="E278" s="73"/>
      <c r="F278" s="73"/>
      <c r="G278" s="73"/>
      <c r="H278" s="73"/>
      <c r="I278" s="73"/>
      <c r="J278" s="267">
        <f t="shared" si="78"/>
        <v>20000</v>
      </c>
      <c r="K278" s="73"/>
      <c r="L278" s="73"/>
      <c r="M278" s="73"/>
      <c r="N278" s="73"/>
      <c r="O278" s="73">
        <f>'DTĐV 2020'!J881</f>
        <v>20000</v>
      </c>
      <c r="P278" s="138"/>
      <c r="Q278" s="73"/>
      <c r="R278" s="73"/>
      <c r="S278" s="73"/>
      <c r="T278" s="73"/>
      <c r="U278" s="73"/>
      <c r="V278" s="73"/>
    </row>
    <row r="279" spans="1:22">
      <c r="A279" s="344">
        <v>16</v>
      </c>
      <c r="B279" s="193" t="s">
        <v>678</v>
      </c>
      <c r="C279" s="73">
        <f t="shared" si="77"/>
        <v>20000</v>
      </c>
      <c r="D279" s="73"/>
      <c r="E279" s="73"/>
      <c r="F279" s="73"/>
      <c r="G279" s="73"/>
      <c r="H279" s="73"/>
      <c r="I279" s="73"/>
      <c r="J279" s="267">
        <f t="shared" si="78"/>
        <v>20000</v>
      </c>
      <c r="K279" s="73"/>
      <c r="L279" s="73"/>
      <c r="M279" s="73"/>
      <c r="N279" s="73"/>
      <c r="O279" s="73">
        <f>'DTĐV 2020'!J883</f>
        <v>20000</v>
      </c>
      <c r="P279" s="138"/>
      <c r="Q279" s="73"/>
      <c r="R279" s="73"/>
      <c r="S279" s="73"/>
      <c r="T279" s="73"/>
      <c r="U279" s="73"/>
      <c r="V279" s="73"/>
    </row>
    <row r="280" spans="1:22">
      <c r="A280" s="344">
        <v>17</v>
      </c>
      <c r="B280" s="213" t="s">
        <v>1597</v>
      </c>
      <c r="C280" s="73">
        <f t="shared" si="77"/>
        <v>429000</v>
      </c>
      <c r="D280" s="72"/>
      <c r="E280" s="72"/>
      <c r="F280" s="72"/>
      <c r="G280" s="72"/>
      <c r="H280" s="72"/>
      <c r="I280" s="72"/>
      <c r="J280" s="267">
        <f t="shared" si="78"/>
        <v>429000</v>
      </c>
      <c r="K280" s="72"/>
      <c r="L280" s="72"/>
      <c r="M280" s="72"/>
      <c r="N280" s="72"/>
      <c r="O280" s="73">
        <f>'DTĐV 2020'!J794</f>
        <v>429000</v>
      </c>
      <c r="P280" s="72"/>
      <c r="Q280" s="72"/>
      <c r="R280" s="72"/>
      <c r="S280" s="72"/>
      <c r="T280" s="72"/>
      <c r="U280" s="72"/>
      <c r="V280" s="72"/>
    </row>
    <row r="281" spans="1:22" ht="37.5" customHeight="1">
      <c r="A281" s="344">
        <v>18</v>
      </c>
      <c r="B281" s="137" t="s">
        <v>1598</v>
      </c>
      <c r="C281" s="73">
        <f t="shared" si="77"/>
        <v>250800</v>
      </c>
      <c r="D281" s="73"/>
      <c r="E281" s="73"/>
      <c r="F281" s="73"/>
      <c r="G281" s="73"/>
      <c r="H281" s="73"/>
      <c r="I281" s="73"/>
      <c r="J281" s="267">
        <f t="shared" si="78"/>
        <v>250800</v>
      </c>
      <c r="K281" s="138"/>
      <c r="L281" s="138"/>
      <c r="M281" s="73"/>
      <c r="N281" s="73"/>
      <c r="O281" s="73">
        <f>'DTĐV 2020'!J795</f>
        <v>250800</v>
      </c>
      <c r="P281" s="73"/>
      <c r="Q281" s="73"/>
      <c r="R281" s="73"/>
      <c r="S281" s="73"/>
      <c r="T281" s="73"/>
      <c r="U281" s="73"/>
      <c r="V281" s="73"/>
    </row>
    <row r="282" spans="1:22">
      <c r="A282" s="139" t="s">
        <v>283</v>
      </c>
      <c r="B282" s="136" t="s">
        <v>1195</v>
      </c>
      <c r="C282" s="72">
        <f>SUM(C283:C307)</f>
        <v>30142891.768000003</v>
      </c>
      <c r="D282" s="72">
        <f t="shared" ref="D282:I282" si="79">SUM(D283:D304)</f>
        <v>0</v>
      </c>
      <c r="E282" s="72">
        <f t="shared" si="79"/>
        <v>0</v>
      </c>
      <c r="F282" s="72">
        <f t="shared" si="79"/>
        <v>0</v>
      </c>
      <c r="G282" s="72">
        <f t="shared" si="79"/>
        <v>0</v>
      </c>
      <c r="H282" s="72">
        <f t="shared" si="79"/>
        <v>0</v>
      </c>
      <c r="I282" s="72">
        <f t="shared" si="79"/>
        <v>0</v>
      </c>
      <c r="J282" s="268">
        <f>SUM(J283:J307)</f>
        <v>30142891.768000003</v>
      </c>
      <c r="K282" s="72">
        <f>SUM(K283:K304)</f>
        <v>0</v>
      </c>
      <c r="L282" s="72"/>
      <c r="M282" s="72">
        <f t="shared" ref="M282:O282" si="80">SUM(M283:M304)</f>
        <v>0</v>
      </c>
      <c r="N282" s="72">
        <f t="shared" si="80"/>
        <v>0</v>
      </c>
      <c r="O282" s="72">
        <f t="shared" si="80"/>
        <v>0</v>
      </c>
      <c r="P282" s="72">
        <f>SUM(P283:P307)</f>
        <v>30142891.768000003</v>
      </c>
      <c r="Q282" s="72">
        <f t="shared" ref="Q282:R282" si="81">SUM(Q283:Q304)</f>
        <v>0</v>
      </c>
      <c r="R282" s="72">
        <f t="shared" si="81"/>
        <v>0</v>
      </c>
      <c r="S282" s="72"/>
      <c r="T282" s="72"/>
      <c r="U282" s="72"/>
      <c r="V282" s="72">
        <f>SUM(V283:V304)</f>
        <v>0</v>
      </c>
    </row>
    <row r="283" spans="1:22">
      <c r="A283" s="91">
        <v>1</v>
      </c>
      <c r="B283" s="137" t="s">
        <v>675</v>
      </c>
      <c r="C283" s="73">
        <f>D283+J283</f>
        <v>9319153.743999999</v>
      </c>
      <c r="D283" s="73">
        <f>E283</f>
        <v>0</v>
      </c>
      <c r="E283" s="73">
        <f>F283+G283</f>
        <v>0</v>
      </c>
      <c r="F283" s="73"/>
      <c r="G283" s="73"/>
      <c r="H283" s="73"/>
      <c r="I283" s="73"/>
      <c r="J283" s="267">
        <f t="shared" si="78"/>
        <v>9319153.743999999</v>
      </c>
      <c r="K283" s="73"/>
      <c r="L283" s="73"/>
      <c r="M283" s="73"/>
      <c r="N283" s="73"/>
      <c r="O283" s="73"/>
      <c r="P283" s="138">
        <f>'DTĐV 2020'!J19</f>
        <v>9319153.743999999</v>
      </c>
      <c r="Q283" s="73"/>
      <c r="R283" s="73"/>
      <c r="S283" s="73"/>
      <c r="T283" s="73"/>
      <c r="U283" s="73"/>
      <c r="V283" s="73"/>
    </row>
    <row r="284" spans="1:22">
      <c r="A284" s="91">
        <v>2</v>
      </c>
      <c r="B284" s="137" t="s">
        <v>215</v>
      </c>
      <c r="C284" s="73">
        <f>D284+J284</f>
        <v>1484380</v>
      </c>
      <c r="D284" s="73"/>
      <c r="E284" s="73"/>
      <c r="F284" s="73"/>
      <c r="G284" s="73"/>
      <c r="H284" s="73"/>
      <c r="I284" s="73"/>
      <c r="J284" s="267">
        <f t="shared" si="78"/>
        <v>1484380</v>
      </c>
      <c r="K284" s="73"/>
      <c r="L284" s="73"/>
      <c r="M284" s="73"/>
      <c r="N284" s="73"/>
      <c r="O284" s="73"/>
      <c r="P284" s="138">
        <f>'DTĐV 2020'!J76</f>
        <v>1484380</v>
      </c>
      <c r="Q284" s="73"/>
      <c r="R284" s="73"/>
      <c r="S284" s="73"/>
      <c r="T284" s="73"/>
      <c r="U284" s="73"/>
      <c r="V284" s="73"/>
    </row>
    <row r="285" spans="1:22">
      <c r="A285" s="91">
        <v>3</v>
      </c>
      <c r="B285" s="137" t="s">
        <v>676</v>
      </c>
      <c r="C285" s="73">
        <f>D285+J285</f>
        <v>10582355.952</v>
      </c>
      <c r="D285" s="73"/>
      <c r="E285" s="73"/>
      <c r="F285" s="73"/>
      <c r="G285" s="73"/>
      <c r="H285" s="73"/>
      <c r="I285" s="73"/>
      <c r="J285" s="267">
        <f t="shared" si="78"/>
        <v>10582355.952</v>
      </c>
      <c r="K285" s="73"/>
      <c r="L285" s="73"/>
      <c r="M285" s="73"/>
      <c r="N285" s="73"/>
      <c r="O285" s="73"/>
      <c r="P285" s="138">
        <f>'DTĐV 2020'!J105</f>
        <v>10582355.952</v>
      </c>
      <c r="Q285" s="73"/>
      <c r="R285" s="73"/>
      <c r="S285" s="73"/>
      <c r="T285" s="73"/>
      <c r="U285" s="73"/>
      <c r="V285" s="73"/>
    </row>
    <row r="286" spans="1:22">
      <c r="A286" s="91">
        <v>4</v>
      </c>
      <c r="B286" s="137" t="s">
        <v>788</v>
      </c>
      <c r="C286" s="73">
        <f>D286+J286</f>
        <v>1626181.3199999998</v>
      </c>
      <c r="D286" s="73"/>
      <c r="E286" s="73"/>
      <c r="F286" s="73"/>
      <c r="G286" s="73"/>
      <c r="H286" s="73"/>
      <c r="I286" s="73"/>
      <c r="J286" s="267">
        <f t="shared" si="78"/>
        <v>1626181.3199999998</v>
      </c>
      <c r="K286" s="73"/>
      <c r="L286" s="73"/>
      <c r="M286" s="73"/>
      <c r="N286" s="73"/>
      <c r="O286" s="73"/>
      <c r="P286" s="138">
        <f>'DTĐV 2020'!J163</f>
        <v>1626181.3199999998</v>
      </c>
      <c r="Q286" s="73"/>
      <c r="R286" s="73"/>
      <c r="S286" s="73"/>
      <c r="T286" s="73"/>
      <c r="U286" s="73"/>
      <c r="V286" s="73"/>
    </row>
    <row r="287" spans="1:22">
      <c r="A287" s="91">
        <v>5</v>
      </c>
      <c r="B287" s="137" t="s">
        <v>310</v>
      </c>
      <c r="C287" s="73">
        <f t="shared" ref="C287:C300" si="82">D287+J287</f>
        <v>664942.28</v>
      </c>
      <c r="D287" s="73"/>
      <c r="E287" s="73"/>
      <c r="F287" s="73"/>
      <c r="G287" s="73"/>
      <c r="H287" s="73"/>
      <c r="I287" s="73"/>
      <c r="J287" s="267">
        <f t="shared" si="78"/>
        <v>664942.28</v>
      </c>
      <c r="K287" s="73"/>
      <c r="L287" s="73"/>
      <c r="M287" s="73"/>
      <c r="N287" s="73"/>
      <c r="O287" s="73"/>
      <c r="P287" s="138">
        <f>'DTĐV 2020'!J204</f>
        <v>664942.28</v>
      </c>
      <c r="Q287" s="73"/>
      <c r="R287" s="73"/>
      <c r="S287" s="73"/>
      <c r="T287" s="73"/>
      <c r="U287" s="73"/>
      <c r="V287" s="73"/>
    </row>
    <row r="288" spans="1:22">
      <c r="A288" s="91">
        <v>6</v>
      </c>
      <c r="B288" s="137" t="s">
        <v>258</v>
      </c>
      <c r="C288" s="73">
        <f t="shared" si="82"/>
        <v>716086.36</v>
      </c>
      <c r="D288" s="73"/>
      <c r="E288" s="73"/>
      <c r="F288" s="73"/>
      <c r="G288" s="73"/>
      <c r="H288" s="73"/>
      <c r="I288" s="73"/>
      <c r="J288" s="267">
        <f t="shared" si="78"/>
        <v>716086.36</v>
      </c>
      <c r="K288" s="73"/>
      <c r="L288" s="73"/>
      <c r="M288" s="73"/>
      <c r="N288" s="73"/>
      <c r="O288" s="73"/>
      <c r="P288" s="138">
        <f>'DTĐV 2020'!J235</f>
        <v>716086.36</v>
      </c>
      <c r="Q288" s="73"/>
      <c r="R288" s="73"/>
      <c r="S288" s="73"/>
      <c r="T288" s="73"/>
      <c r="U288" s="73"/>
      <c r="V288" s="73"/>
    </row>
    <row r="289" spans="1:22">
      <c r="A289" s="91">
        <v>7</v>
      </c>
      <c r="B289" s="137" t="s">
        <v>259</v>
      </c>
      <c r="C289" s="73">
        <f t="shared" si="82"/>
        <v>622862.12</v>
      </c>
      <c r="D289" s="73"/>
      <c r="E289" s="73"/>
      <c r="F289" s="73"/>
      <c r="G289" s="73"/>
      <c r="H289" s="73"/>
      <c r="I289" s="73"/>
      <c r="J289" s="267">
        <f t="shared" si="78"/>
        <v>622862.12</v>
      </c>
      <c r="K289" s="73"/>
      <c r="L289" s="73"/>
      <c r="M289" s="73"/>
      <c r="N289" s="73"/>
      <c r="O289" s="138"/>
      <c r="P289" s="73">
        <f>'DTĐV 2020'!J263</f>
        <v>622862.12</v>
      </c>
      <c r="Q289" s="73"/>
      <c r="R289" s="73"/>
      <c r="S289" s="73"/>
      <c r="T289" s="73"/>
      <c r="U289" s="73"/>
      <c r="V289" s="73"/>
    </row>
    <row r="290" spans="1:22">
      <c r="A290" s="91">
        <v>8</v>
      </c>
      <c r="B290" s="137" t="s">
        <v>260</v>
      </c>
      <c r="C290" s="73">
        <f t="shared" si="82"/>
        <v>436899.19199999998</v>
      </c>
      <c r="D290" s="73"/>
      <c r="E290" s="73"/>
      <c r="F290" s="73"/>
      <c r="G290" s="73"/>
      <c r="H290" s="73"/>
      <c r="I290" s="73"/>
      <c r="J290" s="267">
        <f t="shared" si="78"/>
        <v>436899.19199999998</v>
      </c>
      <c r="K290" s="73"/>
      <c r="L290" s="73"/>
      <c r="M290" s="73"/>
      <c r="N290" s="73"/>
      <c r="O290" s="138"/>
      <c r="P290" s="73">
        <f>'DTĐV 2020'!J284</f>
        <v>436899.19199999998</v>
      </c>
      <c r="Q290" s="73"/>
      <c r="R290" s="73"/>
      <c r="S290" s="73"/>
      <c r="T290" s="73"/>
      <c r="U290" s="73"/>
      <c r="V290" s="73"/>
    </row>
    <row r="291" spans="1:22">
      <c r="A291" s="91">
        <v>9</v>
      </c>
      <c r="B291" s="137" t="s">
        <v>95</v>
      </c>
      <c r="C291" s="73">
        <f t="shared" si="82"/>
        <v>408712</v>
      </c>
      <c r="D291" s="73"/>
      <c r="E291" s="73"/>
      <c r="F291" s="73"/>
      <c r="G291" s="73"/>
      <c r="H291" s="73"/>
      <c r="I291" s="73"/>
      <c r="J291" s="267">
        <f t="shared" si="78"/>
        <v>408712</v>
      </c>
      <c r="K291" s="73"/>
      <c r="L291" s="73"/>
      <c r="M291" s="73"/>
      <c r="N291" s="73"/>
      <c r="O291" s="73"/>
      <c r="P291" s="138">
        <f>'DTĐV 2020'!J303</f>
        <v>408712</v>
      </c>
      <c r="Q291" s="73"/>
      <c r="R291" s="73"/>
      <c r="S291" s="73"/>
      <c r="T291" s="73"/>
      <c r="U291" s="73"/>
      <c r="V291" s="73"/>
    </row>
    <row r="292" spans="1:22">
      <c r="A292" s="91">
        <v>10</v>
      </c>
      <c r="B292" s="137" t="s">
        <v>96</v>
      </c>
      <c r="C292" s="73">
        <f t="shared" si="82"/>
        <v>1494318.7999999998</v>
      </c>
      <c r="D292" s="73"/>
      <c r="E292" s="73"/>
      <c r="F292" s="73"/>
      <c r="G292" s="73"/>
      <c r="H292" s="73"/>
      <c r="I292" s="73"/>
      <c r="J292" s="267">
        <f t="shared" si="78"/>
        <v>1494318.7999999998</v>
      </c>
      <c r="K292" s="73"/>
      <c r="L292" s="73"/>
      <c r="M292" s="73"/>
      <c r="N292" s="73"/>
      <c r="O292" s="73"/>
      <c r="P292" s="73">
        <f>'DTĐV 2020'!J306</f>
        <v>1494318.7999999998</v>
      </c>
      <c r="Q292" s="73"/>
      <c r="R292" s="138"/>
      <c r="S292" s="138"/>
      <c r="T292" s="138"/>
      <c r="U292" s="138"/>
      <c r="V292" s="73"/>
    </row>
    <row r="293" spans="1:22">
      <c r="A293" s="91">
        <v>11</v>
      </c>
      <c r="B293" s="137" t="s">
        <v>308</v>
      </c>
      <c r="C293" s="73">
        <f t="shared" si="82"/>
        <v>157500</v>
      </c>
      <c r="D293" s="73"/>
      <c r="E293" s="73"/>
      <c r="F293" s="73"/>
      <c r="G293" s="73"/>
      <c r="H293" s="73"/>
      <c r="I293" s="73"/>
      <c r="J293" s="267">
        <f t="shared" si="78"/>
        <v>157500</v>
      </c>
      <c r="K293" s="73"/>
      <c r="L293" s="73"/>
      <c r="M293" s="73"/>
      <c r="N293" s="73"/>
      <c r="O293" s="73"/>
      <c r="P293" s="138">
        <f>'DTĐV 2020'!J335</f>
        <v>157500</v>
      </c>
      <c r="Q293" s="73"/>
      <c r="R293" s="73"/>
      <c r="S293" s="73"/>
      <c r="T293" s="73"/>
      <c r="U293" s="73"/>
      <c r="V293" s="73"/>
    </row>
    <row r="294" spans="1:22">
      <c r="A294" s="91">
        <v>12</v>
      </c>
      <c r="B294" s="137" t="s">
        <v>798</v>
      </c>
      <c r="C294" s="73">
        <f t="shared" si="82"/>
        <v>229500</v>
      </c>
      <c r="D294" s="73"/>
      <c r="E294" s="73"/>
      <c r="F294" s="73"/>
      <c r="G294" s="73"/>
      <c r="H294" s="73"/>
      <c r="I294" s="73"/>
      <c r="J294" s="267">
        <f t="shared" si="78"/>
        <v>229500</v>
      </c>
      <c r="K294" s="73"/>
      <c r="L294" s="73"/>
      <c r="M294" s="73"/>
      <c r="N294" s="73"/>
      <c r="O294" s="73"/>
      <c r="P294" s="73">
        <f>'DTĐV 2020'!J345</f>
        <v>229500</v>
      </c>
      <c r="Q294" s="73"/>
      <c r="R294" s="73"/>
      <c r="S294" s="73"/>
      <c r="T294" s="73"/>
      <c r="U294" s="73"/>
      <c r="V294" s="73"/>
    </row>
    <row r="295" spans="1:22">
      <c r="A295" s="91">
        <v>13</v>
      </c>
      <c r="B295" s="137" t="s">
        <v>97</v>
      </c>
      <c r="C295" s="73">
        <f t="shared" si="82"/>
        <v>218500</v>
      </c>
      <c r="D295" s="73">
        <f>E295</f>
        <v>0</v>
      </c>
      <c r="E295" s="73">
        <f>F295+G295</f>
        <v>0</v>
      </c>
      <c r="F295" s="73"/>
      <c r="G295" s="73"/>
      <c r="H295" s="73"/>
      <c r="I295" s="73"/>
      <c r="J295" s="267">
        <f t="shared" si="78"/>
        <v>218500</v>
      </c>
      <c r="K295" s="73"/>
      <c r="L295" s="73"/>
      <c r="M295" s="73"/>
      <c r="N295" s="73"/>
      <c r="O295" s="138"/>
      <c r="P295" s="140">
        <f>'DTĐV 2020'!J371</f>
        <v>218500</v>
      </c>
      <c r="Q295" s="73"/>
      <c r="R295" s="73"/>
      <c r="S295" s="73"/>
      <c r="T295" s="73"/>
      <c r="U295" s="73"/>
      <c r="V295" s="73"/>
    </row>
    <row r="296" spans="1:22">
      <c r="A296" s="91">
        <v>14</v>
      </c>
      <c r="B296" s="137" t="s">
        <v>441</v>
      </c>
      <c r="C296" s="73">
        <f t="shared" si="82"/>
        <v>152500</v>
      </c>
      <c r="D296" s="73">
        <f>E296</f>
        <v>0</v>
      </c>
      <c r="E296" s="73">
        <f>F296+G296</f>
        <v>0</v>
      </c>
      <c r="F296" s="73"/>
      <c r="G296" s="73"/>
      <c r="H296" s="73"/>
      <c r="I296" s="73"/>
      <c r="J296" s="267">
        <f t="shared" si="78"/>
        <v>152500</v>
      </c>
      <c r="K296" s="73"/>
      <c r="L296" s="73"/>
      <c r="M296" s="73"/>
      <c r="N296" s="73"/>
      <c r="O296" s="73"/>
      <c r="P296" s="140">
        <f>'DTĐV 2020'!J356</f>
        <v>152500</v>
      </c>
      <c r="Q296" s="138"/>
      <c r="R296" s="73"/>
      <c r="S296" s="73"/>
      <c r="T296" s="73"/>
      <c r="U296" s="73"/>
      <c r="V296" s="73"/>
    </row>
    <row r="297" spans="1:22">
      <c r="A297" s="91">
        <v>15</v>
      </c>
      <c r="B297" s="137" t="s">
        <v>98</v>
      </c>
      <c r="C297" s="73">
        <f t="shared" si="82"/>
        <v>249500</v>
      </c>
      <c r="D297" s="73"/>
      <c r="E297" s="73"/>
      <c r="F297" s="73"/>
      <c r="G297" s="73"/>
      <c r="H297" s="73"/>
      <c r="I297" s="73"/>
      <c r="J297" s="267">
        <f t="shared" si="78"/>
        <v>249500</v>
      </c>
      <c r="K297" s="73"/>
      <c r="L297" s="73"/>
      <c r="M297" s="73"/>
      <c r="N297" s="73"/>
      <c r="O297" s="73"/>
      <c r="P297" s="140">
        <f>'DTĐV 2020'!J389</f>
        <v>249500</v>
      </c>
      <c r="Q297" s="138"/>
      <c r="R297" s="73"/>
      <c r="S297" s="73"/>
      <c r="T297" s="73"/>
      <c r="U297" s="73"/>
      <c r="V297" s="73"/>
    </row>
    <row r="298" spans="1:22">
      <c r="A298" s="91">
        <v>16</v>
      </c>
      <c r="B298" s="137" t="s">
        <v>201</v>
      </c>
      <c r="C298" s="73">
        <f t="shared" si="82"/>
        <v>263500</v>
      </c>
      <c r="D298" s="73">
        <f>E298</f>
        <v>0</v>
      </c>
      <c r="E298" s="73">
        <f>F298+G298</f>
        <v>0</v>
      </c>
      <c r="F298" s="73"/>
      <c r="G298" s="73"/>
      <c r="H298" s="73"/>
      <c r="I298" s="73"/>
      <c r="J298" s="267">
        <f t="shared" si="78"/>
        <v>263500</v>
      </c>
      <c r="K298" s="73"/>
      <c r="L298" s="73"/>
      <c r="M298" s="73"/>
      <c r="N298" s="73"/>
      <c r="O298" s="73"/>
      <c r="P298" s="140">
        <f>'DTĐV 2020'!J320</f>
        <v>263500</v>
      </c>
      <c r="Q298" s="138"/>
      <c r="R298" s="73"/>
      <c r="S298" s="73"/>
      <c r="T298" s="73"/>
      <c r="U298" s="73"/>
      <c r="V298" s="73"/>
    </row>
    <row r="299" spans="1:22">
      <c r="A299" s="91">
        <v>17</v>
      </c>
      <c r="B299" s="137" t="s">
        <v>148</v>
      </c>
      <c r="C299" s="73">
        <f t="shared" si="82"/>
        <v>72000</v>
      </c>
      <c r="D299" s="73"/>
      <c r="E299" s="73"/>
      <c r="F299" s="73"/>
      <c r="G299" s="73"/>
      <c r="H299" s="73"/>
      <c r="I299" s="73"/>
      <c r="J299" s="267">
        <f t="shared" si="78"/>
        <v>72000</v>
      </c>
      <c r="K299" s="73"/>
      <c r="L299" s="73"/>
      <c r="M299" s="73"/>
      <c r="N299" s="73"/>
      <c r="O299" s="73"/>
      <c r="P299" s="140">
        <f>'DTĐV 2020'!J410</f>
        <v>72000</v>
      </c>
      <c r="Q299" s="138"/>
      <c r="R299" s="73"/>
      <c r="S299" s="73"/>
      <c r="T299" s="73"/>
      <c r="U299" s="73"/>
      <c r="V299" s="73"/>
    </row>
    <row r="300" spans="1:22">
      <c r="A300" s="91">
        <v>18</v>
      </c>
      <c r="B300" s="137" t="s">
        <v>671</v>
      </c>
      <c r="C300" s="73">
        <f t="shared" si="82"/>
        <v>64000</v>
      </c>
      <c r="D300" s="73"/>
      <c r="E300" s="73"/>
      <c r="F300" s="73"/>
      <c r="G300" s="73"/>
      <c r="H300" s="73"/>
      <c r="I300" s="73"/>
      <c r="J300" s="267">
        <f t="shared" si="78"/>
        <v>64000</v>
      </c>
      <c r="K300" s="73"/>
      <c r="L300" s="73"/>
      <c r="M300" s="73"/>
      <c r="N300" s="73"/>
      <c r="O300" s="73"/>
      <c r="P300" s="140">
        <f>'DTĐV 2020'!J422</f>
        <v>64000</v>
      </c>
      <c r="Q300" s="138"/>
      <c r="R300" s="73"/>
      <c r="S300" s="73"/>
      <c r="T300" s="73"/>
      <c r="U300" s="73"/>
      <c r="V300" s="73"/>
    </row>
    <row r="301" spans="1:22">
      <c r="A301" s="91">
        <v>19</v>
      </c>
      <c r="B301" s="137" t="s">
        <v>588</v>
      </c>
      <c r="C301" s="73">
        <f>D301+J301</f>
        <v>56000</v>
      </c>
      <c r="D301" s="73"/>
      <c r="E301" s="73"/>
      <c r="F301" s="73"/>
      <c r="G301" s="73"/>
      <c r="H301" s="73"/>
      <c r="I301" s="73"/>
      <c r="J301" s="267">
        <f t="shared" si="78"/>
        <v>56000</v>
      </c>
      <c r="K301" s="73"/>
      <c r="L301" s="73"/>
      <c r="M301" s="73"/>
      <c r="N301" s="73"/>
      <c r="O301" s="73"/>
      <c r="P301" s="140">
        <f>'DTĐV 2020'!J416</f>
        <v>56000</v>
      </c>
      <c r="Q301" s="138"/>
      <c r="R301" s="73"/>
      <c r="S301" s="73"/>
      <c r="T301" s="73"/>
      <c r="U301" s="73"/>
      <c r="V301" s="73"/>
    </row>
    <row r="302" spans="1:22">
      <c r="A302" s="91">
        <v>20</v>
      </c>
      <c r="B302" s="137" t="s">
        <v>601</v>
      </c>
      <c r="C302" s="73">
        <f t="shared" ref="C302:C310" si="83">D302+J302</f>
        <v>54500</v>
      </c>
      <c r="D302" s="73"/>
      <c r="E302" s="73"/>
      <c r="F302" s="73"/>
      <c r="G302" s="73"/>
      <c r="H302" s="73"/>
      <c r="I302" s="73"/>
      <c r="J302" s="267">
        <f t="shared" si="78"/>
        <v>54500</v>
      </c>
      <c r="K302" s="73"/>
      <c r="L302" s="73"/>
      <c r="M302" s="73"/>
      <c r="N302" s="73"/>
      <c r="O302" s="73"/>
      <c r="P302" s="140">
        <f>'DTĐV 2020'!J429</f>
        <v>54500</v>
      </c>
      <c r="Q302" s="138"/>
      <c r="R302" s="73"/>
      <c r="S302" s="73"/>
      <c r="T302" s="73"/>
      <c r="U302" s="73"/>
      <c r="V302" s="73"/>
    </row>
    <row r="303" spans="1:22">
      <c r="A303" s="91">
        <v>21</v>
      </c>
      <c r="B303" s="137" t="s">
        <v>202</v>
      </c>
      <c r="C303" s="73">
        <f t="shared" si="83"/>
        <v>1000000</v>
      </c>
      <c r="D303" s="73"/>
      <c r="E303" s="73"/>
      <c r="F303" s="73"/>
      <c r="G303" s="73"/>
      <c r="H303" s="73"/>
      <c r="I303" s="73"/>
      <c r="J303" s="267">
        <f t="shared" si="78"/>
        <v>1000000</v>
      </c>
      <c r="K303" s="138"/>
      <c r="L303" s="138"/>
      <c r="M303" s="73"/>
      <c r="N303" s="73"/>
      <c r="O303" s="73"/>
      <c r="P303" s="73">
        <f>'DTĐV 2020'!J435</f>
        <v>1000000</v>
      </c>
      <c r="Q303" s="73"/>
      <c r="R303" s="73"/>
      <c r="S303" s="73"/>
      <c r="T303" s="73"/>
      <c r="U303" s="73"/>
      <c r="V303" s="73"/>
    </row>
    <row r="304" spans="1:22">
      <c r="A304" s="91">
        <v>23</v>
      </c>
      <c r="B304" s="137" t="s">
        <v>203</v>
      </c>
      <c r="C304" s="73">
        <f t="shared" si="83"/>
        <v>40000</v>
      </c>
      <c r="D304" s="73"/>
      <c r="E304" s="73"/>
      <c r="F304" s="73"/>
      <c r="G304" s="73"/>
      <c r="H304" s="73"/>
      <c r="I304" s="73"/>
      <c r="J304" s="267">
        <f t="shared" si="78"/>
        <v>40000</v>
      </c>
      <c r="K304" s="73"/>
      <c r="L304" s="73"/>
      <c r="M304" s="73"/>
      <c r="N304" s="73"/>
      <c r="O304" s="73"/>
      <c r="P304" s="73">
        <f>'DTĐV 2020'!J436</f>
        <v>40000</v>
      </c>
      <c r="Q304" s="73"/>
      <c r="R304" s="73"/>
      <c r="S304" s="73"/>
      <c r="T304" s="73"/>
      <c r="U304" s="73"/>
      <c r="V304" s="138"/>
    </row>
    <row r="305" spans="1:22">
      <c r="A305" s="91">
        <v>24</v>
      </c>
      <c r="B305" s="193" t="s">
        <v>382</v>
      </c>
      <c r="C305" s="73">
        <f t="shared" si="83"/>
        <v>100000</v>
      </c>
      <c r="D305" s="72"/>
      <c r="E305" s="72"/>
      <c r="F305" s="72"/>
      <c r="G305" s="72"/>
      <c r="H305" s="72"/>
      <c r="I305" s="72"/>
      <c r="J305" s="267">
        <f t="shared" si="78"/>
        <v>100000</v>
      </c>
      <c r="K305" s="271"/>
      <c r="L305" s="271"/>
      <c r="M305" s="272"/>
      <c r="N305" s="72"/>
      <c r="O305" s="72"/>
      <c r="P305" s="73">
        <f>'DTĐV 2020'!J437</f>
        <v>100000</v>
      </c>
      <c r="Q305" s="72"/>
      <c r="R305" s="72"/>
      <c r="S305" s="72"/>
      <c r="T305" s="72"/>
      <c r="U305" s="72"/>
      <c r="V305" s="72"/>
    </row>
    <row r="306" spans="1:22">
      <c r="A306" s="91">
        <v>25</v>
      </c>
      <c r="B306" s="193" t="s">
        <v>1599</v>
      </c>
      <c r="C306" s="73">
        <f t="shared" si="83"/>
        <v>129500</v>
      </c>
      <c r="D306" s="72"/>
      <c r="E306" s="72"/>
      <c r="F306" s="72"/>
      <c r="G306" s="72"/>
      <c r="H306" s="72"/>
      <c r="I306" s="72"/>
      <c r="J306" s="267">
        <f t="shared" si="78"/>
        <v>129500</v>
      </c>
      <c r="K306" s="72"/>
      <c r="L306" s="72"/>
      <c r="M306" s="103"/>
      <c r="N306" s="72"/>
      <c r="O306" s="72"/>
      <c r="P306" s="73">
        <f>'DTĐV 2020'!J438</f>
        <v>129500</v>
      </c>
      <c r="Q306" s="72"/>
      <c r="R306" s="72"/>
      <c r="S306" s="72"/>
      <c r="T306" s="72"/>
      <c r="U306" s="72"/>
      <c r="V306" s="72"/>
    </row>
    <row r="307" spans="1:22" hidden="1">
      <c r="A307" s="91">
        <v>26</v>
      </c>
      <c r="B307" s="193" t="s">
        <v>1189</v>
      </c>
      <c r="C307" s="73"/>
      <c r="D307" s="72"/>
      <c r="E307" s="72"/>
      <c r="F307" s="72"/>
      <c r="G307" s="72"/>
      <c r="H307" s="72"/>
      <c r="I307" s="72"/>
      <c r="J307" s="267"/>
      <c r="K307" s="72"/>
      <c r="L307" s="72"/>
      <c r="M307" s="103"/>
      <c r="N307" s="72"/>
      <c r="O307" s="72"/>
      <c r="P307" s="73"/>
      <c r="Q307" s="72"/>
      <c r="R307" s="72"/>
      <c r="S307" s="72"/>
      <c r="T307" s="72"/>
      <c r="U307" s="72"/>
      <c r="V307" s="72"/>
    </row>
    <row r="308" spans="1:22">
      <c r="A308" s="135" t="s">
        <v>25</v>
      </c>
      <c r="B308" s="181" t="s">
        <v>1196</v>
      </c>
      <c r="C308" s="72">
        <f t="shared" si="83"/>
        <v>8514342.6458477415</v>
      </c>
      <c r="D308" s="72"/>
      <c r="E308" s="72"/>
      <c r="F308" s="72"/>
      <c r="G308" s="72"/>
      <c r="H308" s="72"/>
      <c r="I308" s="72"/>
      <c r="J308" s="266">
        <f>J309+J310</f>
        <v>8514342.6458477415</v>
      </c>
      <c r="K308" s="72"/>
      <c r="L308" s="72"/>
      <c r="M308" s="103"/>
      <c r="N308" s="72"/>
      <c r="O308" s="72"/>
      <c r="P308" s="73"/>
      <c r="Q308" s="72"/>
      <c r="R308" s="72"/>
      <c r="S308" s="72">
        <f>S309+S310</f>
        <v>8514342.6458477415</v>
      </c>
      <c r="T308" s="72"/>
      <c r="U308" s="72"/>
      <c r="V308" s="72"/>
    </row>
    <row r="309" spans="1:22">
      <c r="A309" s="91">
        <v>1</v>
      </c>
      <c r="B309" s="193" t="s">
        <v>1197</v>
      </c>
      <c r="C309" s="73">
        <f t="shared" si="83"/>
        <v>674521.02410000004</v>
      </c>
      <c r="D309" s="72"/>
      <c r="E309" s="72"/>
      <c r="F309" s="72"/>
      <c r="G309" s="72"/>
      <c r="H309" s="72"/>
      <c r="I309" s="72"/>
      <c r="J309" s="267">
        <f>SUM(K309:V309)</f>
        <v>674521.02410000004</v>
      </c>
      <c r="K309" s="72"/>
      <c r="L309" s="72"/>
      <c r="M309" s="103"/>
      <c r="N309" s="72"/>
      <c r="O309" s="72"/>
      <c r="P309" s="73"/>
      <c r="Q309" s="72"/>
      <c r="R309" s="72"/>
      <c r="S309" s="73">
        <f>'DTĐV 2020'!J763</f>
        <v>674521.02410000004</v>
      </c>
      <c r="T309" s="72"/>
      <c r="U309" s="72"/>
      <c r="V309" s="72"/>
    </row>
    <row r="310" spans="1:22">
      <c r="A310" s="91">
        <v>2</v>
      </c>
      <c r="B310" s="193" t="s">
        <v>200</v>
      </c>
      <c r="C310" s="73">
        <f t="shared" si="83"/>
        <v>7839821.6217477415</v>
      </c>
      <c r="D310" s="72"/>
      <c r="E310" s="72"/>
      <c r="F310" s="72"/>
      <c r="G310" s="72"/>
      <c r="H310" s="72"/>
      <c r="I310" s="72"/>
      <c r="J310" s="267">
        <f>SUM(K310:V310)</f>
        <v>7839821.6217477415</v>
      </c>
      <c r="K310" s="72"/>
      <c r="L310" s="72"/>
      <c r="M310" s="103"/>
      <c r="N310" s="72"/>
      <c r="O310" s="72"/>
      <c r="P310" s="73"/>
      <c r="Q310" s="72"/>
      <c r="R310" s="72"/>
      <c r="S310" s="73">
        <f>'DTĐV 2020'!J732</f>
        <v>7839821.6217477415</v>
      </c>
      <c r="T310" s="72"/>
      <c r="U310" s="72"/>
      <c r="V310" s="72"/>
    </row>
    <row r="311" spans="1:22">
      <c r="A311" s="135" t="s">
        <v>26</v>
      </c>
      <c r="B311" s="861" t="s">
        <v>204</v>
      </c>
      <c r="C311" s="72">
        <f>SUM(C312:C313)</f>
        <v>4224654</v>
      </c>
      <c r="D311" s="72">
        <f t="shared" ref="D311:I311" si="84">SUM(D312:D313)</f>
        <v>0</v>
      </c>
      <c r="E311" s="72">
        <f t="shared" si="84"/>
        <v>0</v>
      </c>
      <c r="F311" s="72">
        <f t="shared" si="84"/>
        <v>0</v>
      </c>
      <c r="G311" s="72">
        <f t="shared" si="84"/>
        <v>0</v>
      </c>
      <c r="H311" s="72">
        <f t="shared" si="84"/>
        <v>0</v>
      </c>
      <c r="I311" s="72">
        <f t="shared" si="84"/>
        <v>0</v>
      </c>
      <c r="J311" s="268">
        <f>SUM(J312:J313)</f>
        <v>4224654</v>
      </c>
      <c r="K311" s="72">
        <f t="shared" ref="K311" si="85">SUM(K312:K313)</f>
        <v>0</v>
      </c>
      <c r="L311" s="72"/>
      <c r="M311" s="72">
        <f t="shared" ref="M311:P311" si="86">SUM(M312:M313)</f>
        <v>0</v>
      </c>
      <c r="N311" s="72">
        <f t="shared" si="86"/>
        <v>0</v>
      </c>
      <c r="O311" s="72">
        <f t="shared" si="86"/>
        <v>0</v>
      </c>
      <c r="P311" s="72">
        <f t="shared" si="86"/>
        <v>0</v>
      </c>
      <c r="Q311" s="72">
        <f>SUM(Q312:Q313)</f>
        <v>4224654</v>
      </c>
      <c r="R311" s="72">
        <f>SUM(R312:R313)</f>
        <v>0</v>
      </c>
      <c r="S311" s="72"/>
      <c r="T311" s="72"/>
      <c r="U311" s="72"/>
      <c r="V311" s="72">
        <f>SUM(V312:V313)</f>
        <v>0</v>
      </c>
    </row>
    <row r="312" spans="1:22">
      <c r="A312" s="91">
        <v>1</v>
      </c>
      <c r="B312" s="137" t="s">
        <v>263</v>
      </c>
      <c r="C312" s="73">
        <f t="shared" ref="C312" si="87">D312+J312</f>
        <v>2973654</v>
      </c>
      <c r="D312" s="73"/>
      <c r="E312" s="73"/>
      <c r="F312" s="73"/>
      <c r="G312" s="73"/>
      <c r="H312" s="73"/>
      <c r="I312" s="73"/>
      <c r="J312" s="267">
        <f>SUM(K312:V312)</f>
        <v>2973654</v>
      </c>
      <c r="K312" s="73"/>
      <c r="L312" s="73"/>
      <c r="M312" s="73"/>
      <c r="N312" s="73"/>
      <c r="O312" s="73"/>
      <c r="P312" s="73"/>
      <c r="Q312" s="138">
        <f>'DTĐV 2020'!J885</f>
        <v>2973654</v>
      </c>
      <c r="R312" s="73"/>
      <c r="S312" s="73"/>
      <c r="T312" s="73"/>
      <c r="U312" s="73"/>
      <c r="V312" s="73"/>
    </row>
    <row r="313" spans="1:22">
      <c r="A313" s="91">
        <v>2</v>
      </c>
      <c r="B313" s="137" t="s">
        <v>575</v>
      </c>
      <c r="C313" s="73">
        <f>D313+J313</f>
        <v>1251000</v>
      </c>
      <c r="D313" s="73"/>
      <c r="E313" s="73"/>
      <c r="F313" s="73"/>
      <c r="G313" s="73"/>
      <c r="H313" s="73"/>
      <c r="I313" s="73"/>
      <c r="J313" s="267">
        <f>SUM(K313:V313)</f>
        <v>1251000</v>
      </c>
      <c r="K313" s="73"/>
      <c r="L313" s="73"/>
      <c r="M313" s="73"/>
      <c r="N313" s="142"/>
      <c r="O313" s="142"/>
      <c r="P313" s="142"/>
      <c r="Q313" s="138">
        <f>'DTĐV 2020'!J905</f>
        <v>1251000</v>
      </c>
      <c r="R313" s="142"/>
      <c r="S313" s="142"/>
      <c r="T313" s="142"/>
      <c r="U313" s="142"/>
      <c r="V313" s="73"/>
    </row>
    <row r="314" spans="1:22">
      <c r="A314" s="135" t="s">
        <v>357</v>
      </c>
      <c r="B314" s="924" t="s">
        <v>1189</v>
      </c>
      <c r="C314" s="72">
        <f t="shared" ref="C314" si="88">D314+J314</f>
        <v>4500000</v>
      </c>
      <c r="D314" s="72"/>
      <c r="E314" s="72"/>
      <c r="F314" s="72"/>
      <c r="G314" s="72"/>
      <c r="H314" s="72"/>
      <c r="I314" s="72"/>
      <c r="J314" s="266">
        <f t="shared" ref="J314" si="89">SUM(K314:V314)</f>
        <v>4500000</v>
      </c>
      <c r="K314" s="72"/>
      <c r="L314" s="72"/>
      <c r="M314" s="103"/>
      <c r="N314" s="72"/>
      <c r="O314" s="72"/>
      <c r="P314" s="72">
        <v>4500000</v>
      </c>
      <c r="Q314" s="72"/>
      <c r="R314" s="72"/>
      <c r="S314" s="72"/>
      <c r="T314" s="72"/>
      <c r="U314" s="72"/>
      <c r="V314" s="72"/>
    </row>
    <row r="315" spans="1:22" ht="31.5">
      <c r="A315" s="135" t="s">
        <v>152</v>
      </c>
      <c r="B315" s="136" t="s">
        <v>1192</v>
      </c>
      <c r="C315" s="72">
        <f>D315+J315</f>
        <v>200000</v>
      </c>
      <c r="D315" s="72"/>
      <c r="E315" s="72"/>
      <c r="F315" s="72"/>
      <c r="G315" s="72"/>
      <c r="H315" s="72"/>
      <c r="I315" s="72"/>
      <c r="J315" s="266">
        <f t="shared" ref="J315:J322" si="90">SUM(K315:V315)</f>
        <v>200000</v>
      </c>
      <c r="K315" s="72"/>
      <c r="L315" s="72"/>
      <c r="M315" s="73"/>
      <c r="N315" s="142"/>
      <c r="O315" s="142"/>
      <c r="P315" s="142"/>
      <c r="Q315" s="138"/>
      <c r="R315" s="142"/>
      <c r="S315" s="142"/>
      <c r="T315" s="142"/>
      <c r="U315" s="142"/>
      <c r="V315" s="72">
        <f>'DTĐV 2020'!J928</f>
        <v>200000</v>
      </c>
    </row>
    <row r="316" spans="1:22">
      <c r="A316" s="135" t="s">
        <v>154</v>
      </c>
      <c r="B316" s="136" t="s">
        <v>188</v>
      </c>
      <c r="C316" s="72">
        <f t="shared" ref="C316" si="91">D316+J316</f>
        <v>500000</v>
      </c>
      <c r="D316" s="72"/>
      <c r="E316" s="72"/>
      <c r="F316" s="72"/>
      <c r="G316" s="72"/>
      <c r="H316" s="72"/>
      <c r="I316" s="72"/>
      <c r="J316" s="266">
        <f t="shared" si="90"/>
        <v>500000</v>
      </c>
      <c r="K316" s="72"/>
      <c r="L316" s="72"/>
      <c r="M316" s="72"/>
      <c r="N316" s="143"/>
      <c r="O316" s="143"/>
      <c r="P316" s="143"/>
      <c r="Q316" s="143"/>
      <c r="R316" s="143"/>
      <c r="S316" s="143"/>
      <c r="T316" s="143"/>
      <c r="U316" s="143">
        <f>'DTĐV 2020'!J929</f>
        <v>500000</v>
      </c>
      <c r="V316" s="72"/>
    </row>
    <row r="317" spans="1:22">
      <c r="A317" s="135" t="s">
        <v>156</v>
      </c>
      <c r="B317" s="136" t="s">
        <v>576</v>
      </c>
      <c r="C317" s="72">
        <f>D317+J317</f>
        <v>2000000</v>
      </c>
      <c r="D317" s="72"/>
      <c r="E317" s="72"/>
      <c r="F317" s="72"/>
      <c r="G317" s="72"/>
      <c r="H317" s="72"/>
      <c r="I317" s="72"/>
      <c r="J317" s="266">
        <f t="shared" si="90"/>
        <v>2000000</v>
      </c>
      <c r="K317" s="72"/>
      <c r="L317" s="72"/>
      <c r="M317" s="72"/>
      <c r="N317" s="143"/>
      <c r="O317" s="143"/>
      <c r="P317" s="143"/>
      <c r="Q317" s="143"/>
      <c r="R317" s="143"/>
      <c r="S317" s="143"/>
      <c r="T317" s="143"/>
      <c r="U317" s="143"/>
      <c r="V317" s="72">
        <f>'DTĐV 2020'!J930</f>
        <v>2000000</v>
      </c>
    </row>
    <row r="318" spans="1:22" ht="21" customHeight="1">
      <c r="A318" s="135" t="s">
        <v>504</v>
      </c>
      <c r="B318" s="136" t="s">
        <v>1150</v>
      </c>
      <c r="C318" s="72">
        <f>D318+J318</f>
        <v>2274549</v>
      </c>
      <c r="D318" s="72"/>
      <c r="E318" s="72"/>
      <c r="F318" s="72"/>
      <c r="G318" s="72"/>
      <c r="H318" s="72"/>
      <c r="I318" s="72"/>
      <c r="J318" s="266">
        <f t="shared" si="90"/>
        <v>2274549</v>
      </c>
      <c r="K318" s="72"/>
      <c r="L318" s="72"/>
      <c r="M318" s="72"/>
      <c r="N318" s="143"/>
      <c r="O318" s="143"/>
      <c r="P318" s="143"/>
      <c r="Q318" s="143"/>
      <c r="R318" s="143"/>
      <c r="S318" s="143"/>
      <c r="T318" s="143"/>
      <c r="U318" s="143"/>
      <c r="V318" s="72">
        <f>'DTĐV 2020'!J932</f>
        <v>2274549</v>
      </c>
    </row>
    <row r="319" spans="1:22">
      <c r="A319" s="135" t="s">
        <v>527</v>
      </c>
      <c r="B319" s="136" t="s">
        <v>592</v>
      </c>
      <c r="C319" s="72">
        <f t="shared" ref="C319:C326" si="92">D319+J319</f>
        <v>250000</v>
      </c>
      <c r="D319" s="72"/>
      <c r="E319" s="72"/>
      <c r="F319" s="72"/>
      <c r="G319" s="72"/>
      <c r="H319" s="72"/>
      <c r="I319" s="72"/>
      <c r="J319" s="266">
        <f t="shared" si="90"/>
        <v>250000</v>
      </c>
      <c r="K319" s="72"/>
      <c r="L319" s="72"/>
      <c r="M319" s="72"/>
      <c r="N319" s="143"/>
      <c r="O319" s="143"/>
      <c r="P319" s="143"/>
      <c r="Q319" s="143"/>
      <c r="R319" s="143"/>
      <c r="S319" s="143"/>
      <c r="T319" s="143"/>
      <c r="U319" s="143"/>
      <c r="V319" s="72">
        <f>'DTĐV 2020'!J947</f>
        <v>250000</v>
      </c>
    </row>
    <row r="320" spans="1:22">
      <c r="A320" s="327" t="s">
        <v>649</v>
      </c>
      <c r="B320" s="136" t="s">
        <v>217</v>
      </c>
      <c r="C320" s="72">
        <f t="shared" si="92"/>
        <v>20000</v>
      </c>
      <c r="D320" s="72"/>
      <c r="E320" s="72"/>
      <c r="F320" s="72"/>
      <c r="G320" s="72"/>
      <c r="H320" s="72"/>
      <c r="I320" s="72"/>
      <c r="J320" s="266">
        <f t="shared" si="90"/>
        <v>20000</v>
      </c>
      <c r="K320" s="72"/>
      <c r="L320" s="72"/>
      <c r="M320" s="72"/>
      <c r="N320" s="144"/>
      <c r="O320" s="144"/>
      <c r="P320" s="144"/>
      <c r="Q320" s="144"/>
      <c r="R320" s="144"/>
      <c r="S320" s="144"/>
      <c r="T320" s="144"/>
      <c r="U320" s="144"/>
      <c r="V320" s="72">
        <f>'DTĐV 2020'!J946</f>
        <v>20000</v>
      </c>
    </row>
    <row r="321" spans="1:22">
      <c r="A321" s="327" t="s">
        <v>596</v>
      </c>
      <c r="B321" s="136" t="s">
        <v>597</v>
      </c>
      <c r="C321" s="72">
        <f t="shared" si="92"/>
        <v>500000</v>
      </c>
      <c r="D321" s="72"/>
      <c r="E321" s="72"/>
      <c r="F321" s="72"/>
      <c r="G321" s="72"/>
      <c r="H321" s="72"/>
      <c r="I321" s="72"/>
      <c r="J321" s="266">
        <f t="shared" si="90"/>
        <v>500000</v>
      </c>
      <c r="K321" s="72"/>
      <c r="L321" s="72"/>
      <c r="M321" s="72"/>
      <c r="N321" s="144"/>
      <c r="O321" s="144"/>
      <c r="P321" s="144"/>
      <c r="Q321" s="144"/>
      <c r="R321" s="144"/>
      <c r="S321" s="144"/>
      <c r="T321" s="144"/>
      <c r="U321" s="144"/>
      <c r="V321" s="72">
        <f>'DTĐV 2020'!J948</f>
        <v>500000</v>
      </c>
    </row>
    <row r="322" spans="1:22">
      <c r="A322" s="327" t="s">
        <v>66</v>
      </c>
      <c r="B322" s="136" t="s">
        <v>1601</v>
      </c>
      <c r="C322" s="72">
        <f>D322+J322</f>
        <v>3000000</v>
      </c>
      <c r="D322" s="72"/>
      <c r="E322" s="72"/>
      <c r="F322" s="72"/>
      <c r="G322" s="72"/>
      <c r="H322" s="72"/>
      <c r="I322" s="72"/>
      <c r="J322" s="266">
        <f t="shared" si="90"/>
        <v>3000000</v>
      </c>
      <c r="K322" s="72"/>
      <c r="L322" s="72"/>
      <c r="M322" s="72"/>
      <c r="N322" s="144"/>
      <c r="O322" s="144"/>
      <c r="P322" s="144"/>
      <c r="Q322" s="144"/>
      <c r="R322" s="144">
        <f>'DTĐV 2020'!J949</f>
        <v>3000000</v>
      </c>
      <c r="S322" s="144"/>
      <c r="T322" s="144"/>
      <c r="U322" s="144"/>
      <c r="V322" s="72"/>
    </row>
    <row r="323" spans="1:22" hidden="1">
      <c r="A323" s="135" t="s">
        <v>67</v>
      </c>
      <c r="B323" s="136" t="s">
        <v>1603</v>
      </c>
      <c r="C323" s="72">
        <f>D323+J323</f>
        <v>0</v>
      </c>
      <c r="D323" s="72"/>
      <c r="E323" s="72"/>
      <c r="F323" s="72"/>
      <c r="G323" s="72"/>
      <c r="H323" s="72"/>
      <c r="I323" s="72"/>
      <c r="J323" s="266"/>
      <c r="K323" s="72"/>
      <c r="L323" s="72"/>
      <c r="M323" s="72"/>
      <c r="N323" s="144"/>
      <c r="O323" s="144"/>
      <c r="P323" s="144"/>
      <c r="Q323" s="144"/>
      <c r="R323" s="144"/>
      <c r="S323" s="144"/>
      <c r="T323" s="144"/>
      <c r="U323" s="144"/>
      <c r="V323" s="72"/>
    </row>
    <row r="324" spans="1:22" hidden="1">
      <c r="A324" s="135" t="s">
        <v>194</v>
      </c>
      <c r="B324" s="136" t="s">
        <v>1629</v>
      </c>
      <c r="C324" s="72">
        <f>D324+J324</f>
        <v>0</v>
      </c>
      <c r="D324" s="72"/>
      <c r="E324" s="72"/>
      <c r="F324" s="72"/>
      <c r="G324" s="72"/>
      <c r="H324" s="72"/>
      <c r="I324" s="72"/>
      <c r="J324" s="266"/>
      <c r="K324" s="72"/>
      <c r="L324" s="72"/>
      <c r="M324" s="72"/>
      <c r="N324" s="144"/>
      <c r="O324" s="144"/>
      <c r="P324" s="144"/>
      <c r="Q324" s="144"/>
      <c r="R324" s="144"/>
      <c r="S324" s="144"/>
      <c r="T324" s="144"/>
      <c r="U324" s="144"/>
      <c r="V324" s="72"/>
    </row>
    <row r="325" spans="1:22">
      <c r="A325" s="135" t="s">
        <v>504</v>
      </c>
      <c r="B325" s="136" t="s">
        <v>216</v>
      </c>
      <c r="C325" s="72">
        <f t="shared" si="92"/>
        <v>19700000</v>
      </c>
      <c r="D325" s="72">
        <f>E325</f>
        <v>19700000</v>
      </c>
      <c r="E325" s="72">
        <f>F325+I325</f>
        <v>19700000</v>
      </c>
      <c r="F325" s="72">
        <f>'DTĐV 2020'!J945</f>
        <v>19700000</v>
      </c>
      <c r="G325" s="72"/>
      <c r="H325" s="72"/>
      <c r="I325" s="72"/>
      <c r="J325" s="268"/>
      <c r="K325" s="72"/>
      <c r="L325" s="72"/>
      <c r="M325" s="72"/>
      <c r="N325" s="144"/>
      <c r="O325" s="144"/>
      <c r="P325" s="144"/>
      <c r="Q325" s="144"/>
      <c r="R325" s="144"/>
      <c r="S325" s="144"/>
      <c r="T325" s="144"/>
      <c r="U325" s="144"/>
      <c r="V325" s="72"/>
    </row>
    <row r="326" spans="1:22">
      <c r="A326" s="135" t="s">
        <v>194</v>
      </c>
      <c r="B326" s="136" t="s">
        <v>205</v>
      </c>
      <c r="C326" s="72">
        <f t="shared" si="92"/>
        <v>3241000</v>
      </c>
      <c r="D326" s="72"/>
      <c r="E326" s="72"/>
      <c r="F326" s="72"/>
      <c r="G326" s="72"/>
      <c r="H326" s="72"/>
      <c r="I326" s="72"/>
      <c r="J326" s="268">
        <f>SUM(K326:V326)</f>
        <v>3241000</v>
      </c>
      <c r="K326" s="72"/>
      <c r="L326" s="72"/>
      <c r="M326" s="72"/>
      <c r="N326" s="144"/>
      <c r="O326" s="144"/>
      <c r="P326" s="144"/>
      <c r="Q326" s="144"/>
      <c r="R326" s="144"/>
      <c r="S326" s="144"/>
      <c r="T326" s="144">
        <f>'DTĐV 2020'!J944</f>
        <v>3241000</v>
      </c>
      <c r="U326" s="144"/>
      <c r="V326" s="72"/>
    </row>
    <row r="327" spans="1:22">
      <c r="A327" s="92"/>
      <c r="B327" s="135" t="s">
        <v>420</v>
      </c>
      <c r="C327" s="72">
        <f>C239+C258+C261+C263+C282+C311+C315+C316+C317+C319+C320+C321+C326+C308+C325+C254+C314+C318+C322+C323+C324+1</f>
        <v>271240000.39957774</v>
      </c>
      <c r="D327" s="72">
        <f t="shared" ref="D327:I327" si="93">D239+D258+D261+D263+D282+D311+D315+D316+D317+D319+D320+D321+D326+D308+D325+D254+D314+D318</f>
        <v>19700000</v>
      </c>
      <c r="E327" s="72">
        <f t="shared" si="93"/>
        <v>19700000</v>
      </c>
      <c r="F327" s="72">
        <f t="shared" si="93"/>
        <v>19700000</v>
      </c>
      <c r="G327" s="72">
        <f t="shared" si="93"/>
        <v>0</v>
      </c>
      <c r="H327" s="72">
        <f t="shared" si="93"/>
        <v>0</v>
      </c>
      <c r="I327" s="72">
        <f t="shared" si="93"/>
        <v>0</v>
      </c>
      <c r="J327" s="72">
        <f>J239+J258+J261+J263+J282+J311+J315+J316+J317+J319+J320+J321+J326+J308+J325+J254+J314+J318+1+J322</f>
        <v>251540000.39957774</v>
      </c>
      <c r="K327" s="72">
        <f t="shared" ref="K327:Q327" si="94">K239+K258+K261+K263+K280+K282+K311+K315+K316+K317+K319+K320+K321+K326+K308+K325+K254</f>
        <v>36919659.938050002</v>
      </c>
      <c r="L327" s="72">
        <f t="shared" si="94"/>
        <v>19000000</v>
      </c>
      <c r="M327" s="72">
        <f t="shared" si="94"/>
        <v>122733343.202025</v>
      </c>
      <c r="N327" s="72">
        <f t="shared" si="94"/>
        <v>2955018.238655</v>
      </c>
      <c r="O327" s="72">
        <f t="shared" si="94"/>
        <v>10993540.606999999</v>
      </c>
      <c r="P327" s="72">
        <f t="shared" si="94"/>
        <v>30142891.768000003</v>
      </c>
      <c r="Q327" s="72">
        <f t="shared" si="94"/>
        <v>4224654</v>
      </c>
      <c r="R327" s="72">
        <f>R239+R258+R261+R263+R280+R282+R311+R315+R316+R317+R319+R320+R321+R326+R308+R325+R254+R322</f>
        <v>3000000</v>
      </c>
      <c r="S327" s="72">
        <f>S239+S258+S261+S263+S280+S282+S311+S315+S316+S317+S319+S320+S321+S326+S308+S325+S254</f>
        <v>8514342.6458477415</v>
      </c>
      <c r="T327" s="72">
        <f>T239+T258+T261+T263+T280+T282+T311+T315+T316+T317+T319+T320+T321+T326+T308+T325+T254</f>
        <v>3241000</v>
      </c>
      <c r="U327" s="72">
        <f>U239+U258+U261+U263+U280+U282+U311+U315+U316+U317+U319+U320+U321+U326+U308+U325+U254</f>
        <v>500000</v>
      </c>
      <c r="V327" s="72">
        <f>V239+V258+V261+V263+V280+V282+V311+V315+V316+V317+V319+V320+V321+V326+V308+V325+V254+V314+V318+V323</f>
        <v>5244549</v>
      </c>
    </row>
    <row r="328" spans="1:22">
      <c r="P328" s="1127" t="s">
        <v>1604</v>
      </c>
      <c r="Q328" s="1127"/>
      <c r="R328" s="1127"/>
      <c r="S328" s="1127"/>
      <c r="T328" s="1127"/>
      <c r="U328" s="1127"/>
      <c r="V328" s="1127"/>
    </row>
    <row r="329" spans="1:22">
      <c r="Q329" s="1122" t="s">
        <v>637</v>
      </c>
      <c r="R329" s="1122"/>
      <c r="S329" s="1122"/>
      <c r="T329" s="1122"/>
      <c r="U329" s="750"/>
    </row>
    <row r="330" spans="1:22">
      <c r="Q330" s="1122" t="s">
        <v>638</v>
      </c>
      <c r="R330" s="1122"/>
      <c r="S330" s="1122"/>
      <c r="T330" s="1122"/>
      <c r="U330" s="750"/>
    </row>
    <row r="334" spans="1:22">
      <c r="Q334" s="1122" t="s">
        <v>807</v>
      </c>
      <c r="R334" s="1122"/>
      <c r="S334" s="1122"/>
      <c r="T334" s="1122"/>
      <c r="U334" s="750"/>
    </row>
  </sheetData>
  <mergeCells count="89">
    <mergeCell ref="P328:V328"/>
    <mergeCell ref="Q329:T329"/>
    <mergeCell ref="Q330:T330"/>
    <mergeCell ref="Q334:T334"/>
    <mergeCell ref="U237:U238"/>
    <mergeCell ref="V237:V238"/>
    <mergeCell ref="A235:A238"/>
    <mergeCell ref="B235:B238"/>
    <mergeCell ref="C235:V235"/>
    <mergeCell ref="C236:C238"/>
    <mergeCell ref="D236:I236"/>
    <mergeCell ref="J236:J238"/>
    <mergeCell ref="K236:V236"/>
    <mergeCell ref="D237:D238"/>
    <mergeCell ref="E237:I237"/>
    <mergeCell ref="K237:K238"/>
    <mergeCell ref="L237:L238"/>
    <mergeCell ref="M237:M238"/>
    <mergeCell ref="N237:N238"/>
    <mergeCell ref="O237:O238"/>
    <mergeCell ref="P237:P238"/>
    <mergeCell ref="Q237:Q238"/>
    <mergeCell ref="A231:B231"/>
    <mergeCell ref="C231:R231"/>
    <mergeCell ref="A232:B232"/>
    <mergeCell ref="C232:R232"/>
    <mergeCell ref="Q234:V234"/>
    <mergeCell ref="O119:O120"/>
    <mergeCell ref="P119:P120"/>
    <mergeCell ref="Q119:Q120"/>
    <mergeCell ref="R119:R120"/>
    <mergeCell ref="S119:S120"/>
    <mergeCell ref="E119:I119"/>
    <mergeCell ref="K119:K120"/>
    <mergeCell ref="L119:L120"/>
    <mergeCell ref="M119:M120"/>
    <mergeCell ref="N119:N120"/>
    <mergeCell ref="Q95:T95"/>
    <mergeCell ref="Q96:T96"/>
    <mergeCell ref="Q100:T100"/>
    <mergeCell ref="R6:R7"/>
    <mergeCell ref="S6:S7"/>
    <mergeCell ref="T6:T7"/>
    <mergeCell ref="P94:V94"/>
    <mergeCell ref="V6:V7"/>
    <mergeCell ref="A4:A7"/>
    <mergeCell ref="B4:B7"/>
    <mergeCell ref="C4:V4"/>
    <mergeCell ref="C5:C7"/>
    <mergeCell ref="D5:I5"/>
    <mergeCell ref="J5:J7"/>
    <mergeCell ref="K5:V5"/>
    <mergeCell ref="D6:D7"/>
    <mergeCell ref="E6:I6"/>
    <mergeCell ref="K6:K7"/>
    <mergeCell ref="L6:L7"/>
    <mergeCell ref="M6:M7"/>
    <mergeCell ref="N6:N7"/>
    <mergeCell ref="O6:O7"/>
    <mergeCell ref="P6:P7"/>
    <mergeCell ref="Q6:Q7"/>
    <mergeCell ref="A1:B1"/>
    <mergeCell ref="C1:R1"/>
    <mergeCell ref="A2:B2"/>
    <mergeCell ref="C2:R2"/>
    <mergeCell ref="Q3:V3"/>
    <mergeCell ref="A114:B114"/>
    <mergeCell ref="C114:R114"/>
    <mergeCell ref="T119:T120"/>
    <mergeCell ref="V119:V120"/>
    <mergeCell ref="P207:V207"/>
    <mergeCell ref="A115:B115"/>
    <mergeCell ref="C115:R115"/>
    <mergeCell ref="Q116:V116"/>
    <mergeCell ref="A117:A120"/>
    <mergeCell ref="B117:B120"/>
    <mergeCell ref="C117:V117"/>
    <mergeCell ref="C118:C120"/>
    <mergeCell ref="D118:I118"/>
    <mergeCell ref="J118:J120"/>
    <mergeCell ref="K118:V118"/>
    <mergeCell ref="D119:D120"/>
    <mergeCell ref="Q208:T208"/>
    <mergeCell ref="Q209:T209"/>
    <mergeCell ref="Q213:T213"/>
    <mergeCell ref="R237:R238"/>
    <mergeCell ref="S237:S238"/>
    <mergeCell ref="T237:T238"/>
    <mergeCell ref="C233:R233"/>
  </mergeCells>
  <phoneticPr fontId="53" type="noConversion"/>
  <pageMargins left="0.25" right="0.25" top="0.25" bottom="0.25" header="0.3" footer="0.3"/>
  <pageSetup paperSize="8" scale="90" orientation="landscape" horizontalDpi="300" verticalDpi="300" r:id="rId1"/>
</worksheet>
</file>

<file path=xl/worksheets/sheet18.xml><?xml version="1.0" encoding="utf-8"?>
<worksheet xmlns="http://schemas.openxmlformats.org/spreadsheetml/2006/main" xmlns:r="http://schemas.openxmlformats.org/officeDocument/2006/relationships">
  <dimension ref="A1:O1479"/>
  <sheetViews>
    <sheetView topLeftCell="A947" workbookViewId="0">
      <selection activeCell="B956" sqref="B956"/>
    </sheetView>
  </sheetViews>
  <sheetFormatPr defaultRowHeight="15.75"/>
  <cols>
    <col min="1" max="1" width="4.5" style="117" customWidth="1"/>
    <col min="2" max="2" width="40.75" style="116" customWidth="1"/>
    <col min="3" max="3" width="9" style="116" hidden="1" customWidth="1"/>
    <col min="4" max="5" width="9.625" style="116" hidden="1" customWidth="1"/>
    <col min="6" max="6" width="11.25" style="116" hidden="1" customWidth="1"/>
    <col min="7" max="7" width="0.125" style="116" hidden="1" customWidth="1"/>
    <col min="8" max="8" width="8.625" style="116" customWidth="1"/>
    <col min="9" max="9" width="10.375" style="116" hidden="1" customWidth="1"/>
    <col min="10" max="10" width="10.25" style="116" customWidth="1"/>
    <col min="11" max="11" width="10.875" style="116" customWidth="1"/>
    <col min="12" max="12" width="9.75" style="116" customWidth="1"/>
    <col min="13" max="13" width="18" style="116" customWidth="1"/>
    <col min="14" max="16384" width="9" style="116"/>
  </cols>
  <sheetData>
    <row r="1" spans="1:13">
      <c r="A1" s="1161" t="s">
        <v>837</v>
      </c>
      <c r="B1" s="1161"/>
      <c r="C1" s="1161"/>
      <c r="D1" s="1161"/>
      <c r="E1" s="1161"/>
      <c r="F1" s="1161"/>
      <c r="G1" s="1161"/>
      <c r="H1" s="1161"/>
      <c r="I1" s="1161"/>
      <c r="J1" s="1161"/>
      <c r="K1" s="1161"/>
      <c r="L1" s="1161"/>
      <c r="M1" s="1161"/>
    </row>
    <row r="2" spans="1:13" s="118" customFormat="1">
      <c r="A2" s="1161" t="s">
        <v>838</v>
      </c>
      <c r="B2" s="1161"/>
      <c r="C2" s="1161"/>
      <c r="D2" s="1161"/>
      <c r="E2" s="1161"/>
      <c r="F2" s="1161"/>
      <c r="G2" s="1161"/>
      <c r="H2" s="1161"/>
      <c r="I2" s="1161"/>
      <c r="J2" s="1161"/>
      <c r="K2" s="1161"/>
      <c r="L2" s="1161"/>
      <c r="M2" s="1161"/>
    </row>
    <row r="3" spans="1:13" s="118" customFormat="1">
      <c r="A3" s="331"/>
      <c r="B3" s="331"/>
      <c r="C3" s="332"/>
      <c r="D3" s="332"/>
      <c r="E3" s="332"/>
      <c r="F3" s="332"/>
      <c r="G3" s="332"/>
      <c r="H3" s="332"/>
      <c r="I3" s="332"/>
      <c r="J3" s="332"/>
      <c r="K3" s="332"/>
      <c r="L3" s="332"/>
    </row>
    <row r="4" spans="1:13" s="118" customFormat="1">
      <c r="A4" s="762"/>
      <c r="B4" s="762"/>
      <c r="C4" s="332"/>
      <c r="D4" s="332"/>
      <c r="E4" s="332"/>
      <c r="F4" s="332"/>
      <c r="G4" s="332"/>
      <c r="H4" s="332"/>
      <c r="I4" s="332"/>
      <c r="J4" s="332"/>
      <c r="K4" s="332"/>
      <c r="L4" s="332"/>
    </row>
    <row r="5" spans="1:13">
      <c r="A5" s="1162" t="s">
        <v>1254</v>
      </c>
      <c r="B5" s="1162"/>
      <c r="C5" s="1162"/>
      <c r="D5" s="1162"/>
      <c r="E5" s="1162"/>
      <c r="F5" s="1162"/>
      <c r="G5" s="1162"/>
      <c r="H5" s="1162"/>
      <c r="I5" s="1162"/>
      <c r="J5" s="1162"/>
      <c r="K5" s="1162"/>
      <c r="L5" s="1162"/>
      <c r="M5" s="1162"/>
    </row>
    <row r="6" spans="1:13">
      <c r="A6" s="763"/>
      <c r="B6" s="763"/>
      <c r="C6" s="763"/>
      <c r="D6" s="763"/>
      <c r="E6" s="763"/>
      <c r="F6" s="763"/>
      <c r="G6" s="763"/>
      <c r="H6" s="763"/>
      <c r="I6" s="763"/>
      <c r="J6" s="763"/>
      <c r="K6" s="763"/>
      <c r="L6" s="763"/>
      <c r="M6" s="763"/>
    </row>
    <row r="7" spans="1:13">
      <c r="A7" s="1163" t="s">
        <v>1255</v>
      </c>
      <c r="B7" s="1163"/>
      <c r="C7" s="1163"/>
      <c r="D7" s="1163"/>
      <c r="E7" s="1163"/>
      <c r="F7" s="1163"/>
      <c r="G7" s="1163"/>
      <c r="H7" s="1163"/>
      <c r="I7" s="1163"/>
      <c r="J7" s="1163"/>
      <c r="K7" s="1163"/>
      <c r="L7" s="1163"/>
      <c r="M7" s="1163"/>
    </row>
    <row r="8" spans="1:13">
      <c r="A8" s="333" t="s">
        <v>1256</v>
      </c>
      <c r="B8" s="333"/>
      <c r="C8" s="178"/>
      <c r="D8" s="178"/>
      <c r="E8" s="178"/>
      <c r="F8" s="178"/>
      <c r="G8" s="178"/>
      <c r="H8" s="178"/>
      <c r="I8" s="178"/>
      <c r="J8" s="178"/>
      <c r="K8" s="178"/>
      <c r="L8" s="178"/>
    </row>
    <row r="9" spans="1:13" ht="15.75" customHeight="1">
      <c r="A9" s="1164" t="s">
        <v>1257</v>
      </c>
      <c r="B9" s="1164"/>
      <c r="C9" s="1164"/>
      <c r="D9" s="1164"/>
      <c r="E9" s="1164"/>
      <c r="F9" s="1164"/>
      <c r="G9" s="1164"/>
      <c r="H9" s="1164"/>
      <c r="I9" s="1164"/>
      <c r="J9" s="1164"/>
      <c r="K9" s="1164"/>
      <c r="L9" s="1164"/>
      <c r="M9" s="1164"/>
    </row>
    <row r="10" spans="1:13">
      <c r="A10" s="637" t="s">
        <v>1258</v>
      </c>
      <c r="B10" s="637"/>
      <c r="C10" s="178"/>
      <c r="D10" s="178"/>
      <c r="E10" s="178"/>
      <c r="F10" s="178"/>
      <c r="G10" s="178"/>
      <c r="H10" s="178"/>
      <c r="I10" s="178"/>
      <c r="J10" s="178"/>
      <c r="K10" s="178"/>
      <c r="L10" s="178"/>
    </row>
    <row r="11" spans="1:13" ht="15.75" customHeight="1">
      <c r="A11" s="1147" t="s">
        <v>1259</v>
      </c>
      <c r="B11" s="1148"/>
      <c r="C11" s="1148"/>
      <c r="D11" s="1148"/>
      <c r="E11" s="1148"/>
      <c r="F11" s="1148"/>
      <c r="G11" s="1148"/>
      <c r="H11" s="1148"/>
      <c r="I11" s="1148"/>
      <c r="J11" s="1148"/>
      <c r="K11" s="1148"/>
      <c r="L11" s="1148"/>
      <c r="M11" s="1148"/>
    </row>
    <row r="12" spans="1:13">
      <c r="A12" s="637" t="s">
        <v>63</v>
      </c>
      <c r="B12" s="637"/>
      <c r="C12" s="178"/>
      <c r="D12" s="178"/>
      <c r="E12" s="178"/>
      <c r="F12" s="178"/>
      <c r="G12" s="178"/>
      <c r="H12" s="178"/>
      <c r="I12" s="178"/>
      <c r="J12" s="178"/>
      <c r="K12" s="178"/>
      <c r="L12" s="178"/>
    </row>
    <row r="13" spans="1:13">
      <c r="A13" s="1149" t="s">
        <v>24</v>
      </c>
      <c r="B13" s="1149"/>
      <c r="C13" s="1150"/>
      <c r="D13" s="1150"/>
      <c r="E13" s="1150"/>
      <c r="F13" s="1150"/>
      <c r="G13" s="1150"/>
      <c r="H13" s="1150"/>
      <c r="I13" s="1150"/>
      <c r="J13" s="1150"/>
      <c r="K13" s="1150"/>
      <c r="L13" s="1150"/>
      <c r="M13" s="1150"/>
    </row>
    <row r="14" spans="1:13" s="158" customFormat="1" ht="22.5" customHeight="1">
      <c r="A14" s="1141" t="s">
        <v>76</v>
      </c>
      <c r="B14" s="1160" t="s">
        <v>670</v>
      </c>
      <c r="C14" s="1167" t="s">
        <v>841</v>
      </c>
      <c r="D14" s="1170" t="s">
        <v>823</v>
      </c>
      <c r="E14" s="1171"/>
      <c r="F14" s="1171"/>
      <c r="G14" s="1172"/>
      <c r="H14" s="1179" t="s">
        <v>1238</v>
      </c>
      <c r="I14" s="1180"/>
      <c r="J14" s="1180"/>
      <c r="K14" s="1180"/>
      <c r="L14" s="1181"/>
      <c r="M14" s="1160" t="s">
        <v>296</v>
      </c>
    </row>
    <row r="15" spans="1:13" s="158" customFormat="1" ht="15.75" customHeight="1">
      <c r="A15" s="1141"/>
      <c r="B15" s="1160"/>
      <c r="C15" s="1168"/>
      <c r="D15" s="1173"/>
      <c r="E15" s="1174"/>
      <c r="F15" s="1174"/>
      <c r="G15" s="1175"/>
      <c r="H15" s="1159" t="s">
        <v>1260</v>
      </c>
      <c r="I15" s="1159" t="s">
        <v>422</v>
      </c>
      <c r="J15" s="1159" t="s">
        <v>1261</v>
      </c>
      <c r="K15" s="1179" t="s">
        <v>709</v>
      </c>
      <c r="L15" s="1181"/>
      <c r="M15" s="1160"/>
    </row>
    <row r="16" spans="1:13" s="158" customFormat="1" ht="15.75" customHeight="1">
      <c r="A16" s="1141"/>
      <c r="B16" s="1160"/>
      <c r="C16" s="1168"/>
      <c r="D16" s="1173"/>
      <c r="E16" s="1174"/>
      <c r="F16" s="1174"/>
      <c r="G16" s="1175"/>
      <c r="H16" s="1157"/>
      <c r="I16" s="1157"/>
      <c r="J16" s="1157"/>
      <c r="K16" s="1157" t="s">
        <v>845</v>
      </c>
      <c r="L16" s="1159" t="s">
        <v>846</v>
      </c>
      <c r="M16" s="1160"/>
    </row>
    <row r="17" spans="1:13" s="158" customFormat="1" ht="116.25" customHeight="1">
      <c r="A17" s="1141"/>
      <c r="B17" s="1160"/>
      <c r="C17" s="1169"/>
      <c r="D17" s="1176"/>
      <c r="E17" s="1177"/>
      <c r="F17" s="1177"/>
      <c r="G17" s="1178"/>
      <c r="H17" s="1158"/>
      <c r="I17" s="1158"/>
      <c r="J17" s="1158"/>
      <c r="K17" s="1158"/>
      <c r="L17" s="1158"/>
      <c r="M17" s="1160"/>
    </row>
    <row r="18" spans="1:13" s="119" customFormat="1" ht="20.100000000000001" customHeight="1">
      <c r="A18" s="297" t="s">
        <v>84</v>
      </c>
      <c r="B18" s="334" t="s">
        <v>209</v>
      </c>
      <c r="C18" s="451"/>
      <c r="D18" s="451">
        <f>D19+D76+D105+D163+D204+D235+D263+D284+D303+D306+D320+D336+D345+D356+D371+D389+D435+D436+D437+D410+D416+D422+D438+D429</f>
        <v>29087561.139000002</v>
      </c>
      <c r="E18" s="451">
        <f>E19+E76+E105+E163+E204+E235+E263+E284+E303+E306+E320+E336+E345+E356+E371+E389+E435+E436+E437+E410+E416+E422+E438+E429</f>
        <v>27776391.139000002</v>
      </c>
      <c r="F18" s="451">
        <f>E18</f>
        <v>27776391.139000002</v>
      </c>
      <c r="G18" s="451"/>
      <c r="H18" s="451"/>
      <c r="I18" s="451">
        <f>I19+I76+I105+I163+I204+I235+I263+I284+I303+I306+I320+I335+I345+I356+I371+I389+I435+I436+I437+I410+I416+I422+I438+I429</f>
        <v>32084281.768000003</v>
      </c>
      <c r="J18" s="451">
        <f>J19+J76+J105+J163+J204+J235+J263+J284+J303+J306+J320+J335+J345+J356+J371+J389+J435+J436+J437+J410+J416+J422+J438+J429</f>
        <v>30142891.768000003</v>
      </c>
      <c r="K18" s="451">
        <f>K19+K76+K105+K163+K204+K235+K263+K284+K303+K306+K320+K335+K345+K356+K371+K389+K435+K436+K437+K410+K416+K422+K438+K429</f>
        <v>29692891.768000003</v>
      </c>
      <c r="L18" s="451">
        <f>L19+L76+L105+L163+L204+L235+L263+L284+L303+L306+L320+L335+L345+L356+L371+L389+L435+L436+L437+L410+L416+L422+L438+L429</f>
        <v>300000</v>
      </c>
      <c r="M18" s="753"/>
    </row>
    <row r="19" spans="1:13" s="119" customFormat="1" ht="20.100000000000001" customHeight="1">
      <c r="A19" s="769">
        <v>1</v>
      </c>
      <c r="B19" s="770" t="s">
        <v>307</v>
      </c>
      <c r="C19" s="457"/>
      <c r="D19" s="456">
        <f>D22+D27+D28</f>
        <v>7854659.5629999992</v>
      </c>
      <c r="E19" s="456">
        <f>E22+E27+E28</f>
        <v>7788651.5629999992</v>
      </c>
      <c r="F19" s="458">
        <f t="shared" ref="F19:F82" si="0">E19</f>
        <v>7788651.5629999992</v>
      </c>
      <c r="G19" s="456"/>
      <c r="H19" s="456"/>
      <c r="I19" s="456">
        <f>I22+I27+I28</f>
        <v>9269153.743999999</v>
      </c>
      <c r="J19" s="456">
        <f>J22+J27+J28</f>
        <v>9319153.743999999</v>
      </c>
      <c r="K19" s="456">
        <f>K22+K27+K28</f>
        <v>9019153.743999999</v>
      </c>
      <c r="L19" s="456">
        <f>L22+L27+L28</f>
        <v>300000</v>
      </c>
      <c r="M19" s="335"/>
    </row>
    <row r="20" spans="1:13" s="119" customFormat="1" ht="20.100000000000001" customHeight="1">
      <c r="A20" s="336"/>
      <c r="B20" s="199" t="s">
        <v>783</v>
      </c>
      <c r="C20" s="462"/>
      <c r="D20" s="460"/>
      <c r="E20" s="460"/>
      <c r="F20" s="466">
        <f t="shared" si="0"/>
        <v>0</v>
      </c>
      <c r="G20" s="460"/>
      <c r="H20" s="771"/>
      <c r="I20" s="460"/>
      <c r="J20" s="460"/>
      <c r="K20" s="460"/>
      <c r="L20" s="460"/>
      <c r="M20" s="337"/>
    </row>
    <row r="21" spans="1:13" s="119" customFormat="1" ht="20.100000000000001" customHeight="1">
      <c r="A21" s="336"/>
      <c r="B21" s="199" t="s">
        <v>173</v>
      </c>
      <c r="C21" s="462"/>
      <c r="D21" s="460"/>
      <c r="E21" s="460"/>
      <c r="F21" s="466">
        <f t="shared" si="0"/>
        <v>0</v>
      </c>
      <c r="G21" s="460"/>
      <c r="H21" s="771"/>
      <c r="I21" s="460"/>
      <c r="J21" s="460"/>
      <c r="K21" s="460"/>
      <c r="L21" s="460"/>
      <c r="M21" s="337"/>
    </row>
    <row r="22" spans="1:13" s="119" customFormat="1" ht="20.100000000000001" customHeight="1">
      <c r="A22" s="338"/>
      <c r="B22" s="199" t="s">
        <v>377</v>
      </c>
      <c r="C22" s="465"/>
      <c r="D22" s="464">
        <f>(D23+D25+D26)</f>
        <v>3606596.0954999998</v>
      </c>
      <c r="E22" s="464">
        <f>(E23+E25+E26)</f>
        <v>3606596.0954999998</v>
      </c>
      <c r="F22" s="466">
        <f t="shared" si="0"/>
        <v>3606596.0954999998</v>
      </c>
      <c r="G22" s="464"/>
      <c r="H22" s="772"/>
      <c r="I22" s="464">
        <f>I23+I24+I25+I26</f>
        <v>3970416.2609999999</v>
      </c>
      <c r="J22" s="464">
        <f>J23+J24+J25+J26</f>
        <v>3970416.2609999999</v>
      </c>
      <c r="K22" s="464">
        <f>K23+K24+K25+K26</f>
        <v>3970416.2609999999</v>
      </c>
      <c r="L22" s="464"/>
      <c r="M22" s="337"/>
    </row>
    <row r="23" spans="1:13" s="119" customFormat="1" ht="20.100000000000001" customHeight="1">
      <c r="A23" s="159"/>
      <c r="B23" s="170" t="s">
        <v>1262</v>
      </c>
      <c r="C23" s="469">
        <f>106.78+2.7+6.8+0.3984+1.7691+5.2+1.25+0.5+0.7+2.1+0.1+0.2</f>
        <v>128.49749999999997</v>
      </c>
      <c r="D23" s="468">
        <f>C23*1390*12</f>
        <v>2143338.2999999998</v>
      </c>
      <c r="E23" s="468">
        <f>D23</f>
        <v>2143338.2999999998</v>
      </c>
      <c r="F23" s="470">
        <f t="shared" si="0"/>
        <v>2143338.2999999998</v>
      </c>
      <c r="G23" s="468"/>
      <c r="H23" s="773">
        <f>110.33+6.8+2.6+0.989+0.7+2.488+1.25+3.95</f>
        <v>129.107</v>
      </c>
      <c r="I23" s="468">
        <f>H23*1490*12</f>
        <v>2308433.16</v>
      </c>
      <c r="J23" s="468">
        <f t="shared" ref="J23:K27" si="1">I23</f>
        <v>2308433.16</v>
      </c>
      <c r="K23" s="468">
        <f t="shared" si="1"/>
        <v>2308433.16</v>
      </c>
      <c r="L23" s="468"/>
      <c r="M23" s="337"/>
    </row>
    <row r="24" spans="1:13" s="119" customFormat="1" ht="20.100000000000001" customHeight="1">
      <c r="A24" s="159"/>
      <c r="B24" s="170" t="s">
        <v>1263</v>
      </c>
      <c r="C24" s="469"/>
      <c r="D24" s="468"/>
      <c r="E24" s="468"/>
      <c r="F24" s="470"/>
      <c r="G24" s="468"/>
      <c r="H24" s="773">
        <f>2.1+0.15+0.1</f>
        <v>2.35</v>
      </c>
      <c r="I24" s="468">
        <f>H24*1490*12</f>
        <v>42018</v>
      </c>
      <c r="J24" s="468">
        <f t="shared" si="1"/>
        <v>42018</v>
      </c>
      <c r="K24" s="468">
        <f t="shared" si="1"/>
        <v>42018</v>
      </c>
      <c r="L24" s="468"/>
      <c r="M24" s="337"/>
    </row>
    <row r="25" spans="1:13" s="119" customFormat="1" ht="20.100000000000001" customHeight="1">
      <c r="A25" s="159"/>
      <c r="B25" s="170" t="s">
        <v>174</v>
      </c>
      <c r="C25" s="469">
        <f>32.694+28.4946</f>
        <v>61.188600000000001</v>
      </c>
      <c r="D25" s="468">
        <f>C25*1390*12</f>
        <v>1020625.848</v>
      </c>
      <c r="E25" s="468">
        <f>D25</f>
        <v>1020625.848</v>
      </c>
      <c r="F25" s="470">
        <f t="shared" si="0"/>
        <v>1020625.848</v>
      </c>
      <c r="G25" s="468"/>
      <c r="H25" s="773">
        <f>33.936+29.53</f>
        <v>63.466000000000001</v>
      </c>
      <c r="I25" s="468">
        <f>H25*1490*12</f>
        <v>1134772.08</v>
      </c>
      <c r="J25" s="468">
        <f t="shared" si="1"/>
        <v>1134772.08</v>
      </c>
      <c r="K25" s="468">
        <f t="shared" si="1"/>
        <v>1134772.08</v>
      </c>
      <c r="L25" s="468"/>
      <c r="M25" s="337"/>
    </row>
    <row r="26" spans="1:13" s="119" customFormat="1" ht="20.100000000000001" customHeight="1">
      <c r="A26" s="159"/>
      <c r="B26" s="170" t="s">
        <v>175</v>
      </c>
      <c r="C26" s="469">
        <f>(106.78+6.8+0.3984+1.7691+2.1)*22.5%+2.1*1%</f>
        <v>26.536687499999996</v>
      </c>
      <c r="D26" s="468">
        <f>C26*1390*12</f>
        <v>442631.94749999995</v>
      </c>
      <c r="E26" s="468">
        <f>D26</f>
        <v>442631.94749999995</v>
      </c>
      <c r="F26" s="470">
        <f t="shared" si="0"/>
        <v>442631.94749999995</v>
      </c>
      <c r="G26" s="468"/>
      <c r="H26" s="774">
        <f>(110.33+6.8+0.989+2.1)*22.5%+(2.55+4.03+2.1)*1%</f>
        <v>27.136074999999998</v>
      </c>
      <c r="I26" s="468">
        <f>H26*1490*12</f>
        <v>485193.02099999995</v>
      </c>
      <c r="J26" s="468">
        <f t="shared" si="1"/>
        <v>485193.02099999995</v>
      </c>
      <c r="K26" s="468">
        <f t="shared" si="1"/>
        <v>485193.02099999995</v>
      </c>
      <c r="L26" s="468"/>
      <c r="M26" s="337"/>
    </row>
    <row r="27" spans="1:13" s="119" customFormat="1" ht="20.100000000000001" customHeight="1">
      <c r="A27" s="159"/>
      <c r="B27" s="169" t="s">
        <v>732</v>
      </c>
      <c r="C27" s="459"/>
      <c r="D27" s="460">
        <f>(C23+C26)*25/75*1210*12</f>
        <v>750365.4674999998</v>
      </c>
      <c r="E27" s="460">
        <f>D27</f>
        <v>750365.4674999998</v>
      </c>
      <c r="F27" s="466">
        <f t="shared" si="0"/>
        <v>750365.4674999998</v>
      </c>
      <c r="G27" s="460"/>
      <c r="H27" s="773"/>
      <c r="I27" s="460">
        <f>(H23+H24+H26)*1210*25/75*12</f>
        <v>767590.48300000001</v>
      </c>
      <c r="J27" s="460">
        <f t="shared" si="1"/>
        <v>767590.48300000001</v>
      </c>
      <c r="K27" s="460">
        <f t="shared" si="1"/>
        <v>767590.48300000001</v>
      </c>
      <c r="L27" s="460"/>
      <c r="M27" s="337"/>
    </row>
    <row r="28" spans="1:13" s="119" customFormat="1" ht="20.100000000000001" customHeight="1">
      <c r="A28" s="163"/>
      <c r="B28" s="169" t="s">
        <v>380</v>
      </c>
      <c r="C28" s="471"/>
      <c r="D28" s="472">
        <f>SUM(D29:D69)</f>
        <v>3497698</v>
      </c>
      <c r="E28" s="472">
        <f>SUM(E29:E69)</f>
        <v>3431690</v>
      </c>
      <c r="F28" s="466">
        <f t="shared" si="0"/>
        <v>3431690</v>
      </c>
      <c r="G28" s="472"/>
      <c r="H28" s="775"/>
      <c r="I28" s="472">
        <f>SUM(I29:I75)</f>
        <v>4531147</v>
      </c>
      <c r="J28" s="472">
        <f>SUM(J29:J75)</f>
        <v>4581147</v>
      </c>
      <c r="K28" s="472">
        <f>SUM(K29:K75)</f>
        <v>4281147</v>
      </c>
      <c r="L28" s="472">
        <f>SUM(L29:L75)</f>
        <v>300000</v>
      </c>
      <c r="M28" s="337"/>
    </row>
    <row r="29" spans="1:13" s="119" customFormat="1" ht="20.100000000000001" customHeight="1">
      <c r="A29" s="163"/>
      <c r="B29" s="170" t="s">
        <v>1264</v>
      </c>
      <c r="C29" s="473"/>
      <c r="D29" s="468">
        <v>171000</v>
      </c>
      <c r="E29" s="468">
        <v>141000</v>
      </c>
      <c r="F29" s="470">
        <f t="shared" si="0"/>
        <v>141000</v>
      </c>
      <c r="G29" s="468"/>
      <c r="H29" s="776"/>
      <c r="I29" s="468">
        <f>11000*2+4*8000+6*6000+4*5500+11*5000+2000</f>
        <v>169000</v>
      </c>
      <c r="J29" s="468">
        <f>11000*2+4*8000+6*6000+4*5500+11*5000+2000</f>
        <v>169000</v>
      </c>
      <c r="K29" s="468">
        <f>11000*2+4*8000+6*6000+4*5500+11*5000+2000</f>
        <v>169000</v>
      </c>
      <c r="L29" s="468"/>
      <c r="M29" s="337"/>
    </row>
    <row r="30" spans="1:13" s="119" customFormat="1" ht="20.100000000000001" customHeight="1">
      <c r="A30" s="777"/>
      <c r="B30" s="699" t="s">
        <v>1265</v>
      </c>
      <c r="C30" s="703"/>
      <c r="D30" s="701">
        <v>40500</v>
      </c>
      <c r="E30" s="701">
        <v>40500</v>
      </c>
      <c r="F30" s="704">
        <f t="shared" si="0"/>
        <v>40500</v>
      </c>
      <c r="G30" s="701"/>
      <c r="H30" s="778"/>
      <c r="I30" s="779">
        <v>40500</v>
      </c>
      <c r="J30" s="701">
        <f>27*500*5</f>
        <v>67500</v>
      </c>
      <c r="K30" s="701">
        <f>27*500*5</f>
        <v>67500</v>
      </c>
      <c r="L30" s="701"/>
      <c r="M30" s="780"/>
    </row>
    <row r="31" spans="1:13" s="119" customFormat="1" ht="20.100000000000001" customHeight="1">
      <c r="A31" s="916"/>
      <c r="B31" s="917"/>
      <c r="C31" s="918"/>
      <c r="D31" s="919"/>
      <c r="E31" s="919"/>
      <c r="F31" s="569"/>
      <c r="G31" s="919"/>
      <c r="H31" s="920"/>
      <c r="I31" s="921"/>
      <c r="J31" s="919">
        <v>34000</v>
      </c>
      <c r="K31" s="919">
        <v>34000</v>
      </c>
      <c r="L31" s="919"/>
      <c r="M31" s="922"/>
    </row>
    <row r="32" spans="1:13" s="119" customFormat="1" ht="20.100000000000001" customHeight="1">
      <c r="A32" s="781"/>
      <c r="B32" s="477" t="s">
        <v>429</v>
      </c>
      <c r="C32" s="695"/>
      <c r="D32" s="693">
        <v>46000</v>
      </c>
      <c r="E32" s="693">
        <v>46000</v>
      </c>
      <c r="F32" s="696">
        <f t="shared" si="0"/>
        <v>46000</v>
      </c>
      <c r="G32" s="693"/>
      <c r="H32" s="782"/>
      <c r="I32" s="693">
        <v>80000</v>
      </c>
      <c r="J32" s="693">
        <v>80000</v>
      </c>
      <c r="K32" s="693">
        <v>80000</v>
      </c>
      <c r="L32" s="693"/>
      <c r="M32" s="335"/>
    </row>
    <row r="33" spans="1:13" s="119" customFormat="1" ht="20.100000000000001" customHeight="1">
      <c r="A33" s="163"/>
      <c r="B33" s="170" t="s">
        <v>326</v>
      </c>
      <c r="C33" s="473"/>
      <c r="D33" s="468">
        <v>54000</v>
      </c>
      <c r="E33" s="468">
        <v>54000</v>
      </c>
      <c r="F33" s="470">
        <f t="shared" si="0"/>
        <v>54000</v>
      </c>
      <c r="G33" s="468"/>
      <c r="H33" s="776"/>
      <c r="I33" s="468">
        <f>27*2000</f>
        <v>54000</v>
      </c>
      <c r="J33" s="468">
        <f>27*2000</f>
        <v>54000</v>
      </c>
      <c r="K33" s="468">
        <f>27*2000</f>
        <v>54000</v>
      </c>
      <c r="L33" s="468"/>
      <c r="M33" s="337"/>
    </row>
    <row r="34" spans="1:13" s="119" customFormat="1" ht="20.100000000000001" customHeight="1">
      <c r="A34" s="163"/>
      <c r="B34" s="170" t="s">
        <v>848</v>
      </c>
      <c r="C34" s="473"/>
      <c r="D34" s="468">
        <f>6000*12</f>
        <v>72000</v>
      </c>
      <c r="E34" s="468">
        <f>D34</f>
        <v>72000</v>
      </c>
      <c r="F34" s="470">
        <f>E34</f>
        <v>72000</v>
      </c>
      <c r="G34" s="468"/>
      <c r="H34" s="776"/>
      <c r="I34" s="468">
        <v>72000</v>
      </c>
      <c r="J34" s="468">
        <v>72000</v>
      </c>
      <c r="K34" s="468">
        <v>72000</v>
      </c>
      <c r="L34" s="468"/>
      <c r="M34" s="337"/>
    </row>
    <row r="35" spans="1:13" s="119" customFormat="1" ht="20.100000000000001" customHeight="1">
      <c r="A35" s="163"/>
      <c r="B35" s="170" t="s">
        <v>818</v>
      </c>
      <c r="C35" s="473"/>
      <c r="D35" s="468">
        <v>12000</v>
      </c>
      <c r="E35" s="468">
        <v>12000</v>
      </c>
      <c r="F35" s="470">
        <f t="shared" si="0"/>
        <v>12000</v>
      </c>
      <c r="G35" s="468"/>
      <c r="H35" s="776"/>
      <c r="I35" s="468">
        <v>12000</v>
      </c>
      <c r="J35" s="468">
        <v>12000</v>
      </c>
      <c r="K35" s="468">
        <v>12000</v>
      </c>
      <c r="L35" s="468"/>
      <c r="M35" s="337"/>
    </row>
    <row r="36" spans="1:13" s="119" customFormat="1" ht="20.100000000000001" customHeight="1">
      <c r="A36" s="163"/>
      <c r="B36" s="170" t="s">
        <v>764</v>
      </c>
      <c r="C36" s="473"/>
      <c r="D36" s="468">
        <v>18040</v>
      </c>
      <c r="E36" s="468">
        <v>18040</v>
      </c>
      <c r="F36" s="470">
        <f t="shared" si="0"/>
        <v>18040</v>
      </c>
      <c r="G36" s="468"/>
      <c r="H36" s="776"/>
      <c r="I36" s="468">
        <v>18580</v>
      </c>
      <c r="J36" s="468">
        <v>18580</v>
      </c>
      <c r="K36" s="468">
        <v>18580</v>
      </c>
      <c r="L36" s="468"/>
      <c r="M36" s="337"/>
    </row>
    <row r="37" spans="1:13" s="119" customFormat="1" ht="20.100000000000001" customHeight="1">
      <c r="A37" s="163"/>
      <c r="B37" s="170" t="s">
        <v>468</v>
      </c>
      <c r="C37" s="473"/>
      <c r="D37" s="468">
        <v>20850</v>
      </c>
      <c r="E37" s="468">
        <v>20850</v>
      </c>
      <c r="F37" s="470">
        <f t="shared" si="0"/>
        <v>20850</v>
      </c>
      <c r="G37" s="468"/>
      <c r="H37" s="776"/>
      <c r="I37" s="468">
        <v>23691</v>
      </c>
      <c r="J37" s="468">
        <v>23691</v>
      </c>
      <c r="K37" s="468">
        <v>23691</v>
      </c>
      <c r="L37" s="468"/>
      <c r="M37" s="337"/>
    </row>
    <row r="38" spans="1:13" s="119" customFormat="1" ht="20.100000000000001" customHeight="1">
      <c r="A38" s="163"/>
      <c r="B38" s="170" t="s">
        <v>128</v>
      </c>
      <c r="C38" s="473"/>
      <c r="D38" s="468">
        <v>120000</v>
      </c>
      <c r="E38" s="468">
        <v>120000</v>
      </c>
      <c r="F38" s="470">
        <f t="shared" si="0"/>
        <v>120000</v>
      </c>
      <c r="G38" s="468"/>
      <c r="H38" s="776"/>
      <c r="I38" s="468">
        <v>120000</v>
      </c>
      <c r="J38" s="468">
        <v>120000</v>
      </c>
      <c r="K38" s="468">
        <v>120000</v>
      </c>
      <c r="L38" s="468"/>
      <c r="M38" s="764"/>
    </row>
    <row r="39" spans="1:13" s="119" customFormat="1" ht="20.100000000000001" customHeight="1">
      <c r="A39" s="163"/>
      <c r="B39" s="170" t="s">
        <v>129</v>
      </c>
      <c r="C39" s="473"/>
      <c r="D39" s="468">
        <v>226000</v>
      </c>
      <c r="E39" s="468">
        <v>200000</v>
      </c>
      <c r="F39" s="470">
        <f t="shared" si="0"/>
        <v>200000</v>
      </c>
      <c r="G39" s="468"/>
      <c r="H39" s="776"/>
      <c r="I39" s="468">
        <v>200000</v>
      </c>
      <c r="J39" s="468">
        <v>200000</v>
      </c>
      <c r="K39" s="468">
        <v>200000</v>
      </c>
      <c r="L39" s="468"/>
      <c r="M39" s="337"/>
    </row>
    <row r="40" spans="1:13" s="119" customFormat="1" ht="20.100000000000001" customHeight="1">
      <c r="A40" s="163"/>
      <c r="B40" s="170" t="s">
        <v>1266</v>
      </c>
      <c r="C40" s="473"/>
      <c r="D40" s="783">
        <f>35*1390*0.4*12</f>
        <v>233520</v>
      </c>
      <c r="E40" s="468">
        <f>34*1390*0.4*12</f>
        <v>226848</v>
      </c>
      <c r="F40" s="470">
        <f t="shared" si="0"/>
        <v>226848</v>
      </c>
      <c r="G40" s="468"/>
      <c r="H40" s="776"/>
      <c r="I40" s="468">
        <f>34*1490*0.4*12</f>
        <v>243168</v>
      </c>
      <c r="J40" s="468">
        <v>243168</v>
      </c>
      <c r="K40" s="468">
        <v>243168</v>
      </c>
      <c r="L40" s="468"/>
      <c r="M40" s="337"/>
    </row>
    <row r="41" spans="1:13" s="119" customFormat="1" ht="20.100000000000001" customHeight="1">
      <c r="A41" s="163"/>
      <c r="B41" s="170" t="s">
        <v>327</v>
      </c>
      <c r="C41" s="473"/>
      <c r="D41" s="468">
        <v>200000</v>
      </c>
      <c r="E41" s="468">
        <v>200000</v>
      </c>
      <c r="F41" s="470">
        <f t="shared" si="0"/>
        <v>200000</v>
      </c>
      <c r="G41" s="468"/>
      <c r="H41" s="776"/>
      <c r="I41" s="468">
        <v>500000</v>
      </c>
      <c r="J41" s="468">
        <v>400000</v>
      </c>
      <c r="K41" s="468">
        <v>200000</v>
      </c>
      <c r="L41" s="468">
        <v>200000</v>
      </c>
      <c r="M41" s="337"/>
    </row>
    <row r="42" spans="1:13" s="119" customFormat="1" ht="20.100000000000001" customHeight="1">
      <c r="A42" s="163"/>
      <c r="B42" s="170" t="s">
        <v>138</v>
      </c>
      <c r="C42" s="473"/>
      <c r="D42" s="468">
        <v>200000</v>
      </c>
      <c r="E42" s="468">
        <v>200000</v>
      </c>
      <c r="F42" s="470">
        <f t="shared" si="0"/>
        <v>200000</v>
      </c>
      <c r="G42" s="468"/>
      <c r="H42" s="776"/>
      <c r="I42" s="468">
        <v>200000</v>
      </c>
      <c r="J42" s="468">
        <v>200000</v>
      </c>
      <c r="K42" s="468">
        <v>200000</v>
      </c>
      <c r="L42" s="468"/>
      <c r="M42" s="337"/>
    </row>
    <row r="43" spans="1:13" s="119" customFormat="1" ht="20.100000000000001" customHeight="1">
      <c r="A43" s="163"/>
      <c r="B43" s="170" t="s">
        <v>804</v>
      </c>
      <c r="C43" s="473"/>
      <c r="D43" s="468">
        <v>40000</v>
      </c>
      <c r="E43" s="468">
        <v>40000</v>
      </c>
      <c r="F43" s="470">
        <f t="shared" si="0"/>
        <v>40000</v>
      </c>
      <c r="G43" s="468"/>
      <c r="H43" s="776"/>
      <c r="I43" s="468">
        <v>40000</v>
      </c>
      <c r="J43" s="468">
        <v>40000</v>
      </c>
      <c r="K43" s="468">
        <v>40000</v>
      </c>
      <c r="L43" s="468"/>
      <c r="M43" s="337"/>
    </row>
    <row r="44" spans="1:13" s="119" customFormat="1" ht="20.100000000000001" customHeight="1">
      <c r="A44" s="163"/>
      <c r="B44" s="170" t="s">
        <v>284</v>
      </c>
      <c r="C44" s="473"/>
      <c r="D44" s="468">
        <v>30000</v>
      </c>
      <c r="E44" s="468">
        <v>30000</v>
      </c>
      <c r="F44" s="470">
        <f t="shared" si="0"/>
        <v>30000</v>
      </c>
      <c r="G44" s="468"/>
      <c r="H44" s="776"/>
      <c r="I44" s="468">
        <v>30000</v>
      </c>
      <c r="J44" s="468">
        <v>30000</v>
      </c>
      <c r="K44" s="468">
        <v>30000</v>
      </c>
      <c r="L44" s="468"/>
      <c r="M44" s="337"/>
    </row>
    <row r="45" spans="1:13" s="119" customFormat="1" ht="20.100000000000001" customHeight="1">
      <c r="A45" s="163"/>
      <c r="B45" s="170" t="s">
        <v>292</v>
      </c>
      <c r="C45" s="473"/>
      <c r="D45" s="468">
        <v>120000</v>
      </c>
      <c r="E45" s="468">
        <v>120000</v>
      </c>
      <c r="F45" s="470">
        <f t="shared" si="0"/>
        <v>120000</v>
      </c>
      <c r="G45" s="468"/>
      <c r="H45" s="776"/>
      <c r="I45" s="468">
        <v>120000</v>
      </c>
      <c r="J45" s="468">
        <v>120000</v>
      </c>
      <c r="K45" s="468">
        <v>120000</v>
      </c>
      <c r="L45" s="468"/>
      <c r="M45" s="337"/>
    </row>
    <row r="46" spans="1:13" s="119" customFormat="1" ht="20.100000000000001" customHeight="1">
      <c r="A46" s="163"/>
      <c r="B46" s="170" t="s">
        <v>178</v>
      </c>
      <c r="C46" s="473"/>
      <c r="D46" s="468">
        <v>30000</v>
      </c>
      <c r="E46" s="468">
        <v>30000</v>
      </c>
      <c r="F46" s="470">
        <f t="shared" si="0"/>
        <v>30000</v>
      </c>
      <c r="G46" s="468"/>
      <c r="H46" s="776"/>
      <c r="I46" s="468">
        <v>30000</v>
      </c>
      <c r="J46" s="468">
        <v>30000</v>
      </c>
      <c r="K46" s="468">
        <v>30000</v>
      </c>
      <c r="L46" s="468"/>
      <c r="M46" s="337"/>
    </row>
    <row r="47" spans="1:13" s="119" customFormat="1" ht="20.100000000000001" customHeight="1">
      <c r="A47" s="163"/>
      <c r="B47" s="170" t="s">
        <v>735</v>
      </c>
      <c r="C47" s="473"/>
      <c r="D47" s="468">
        <v>50000</v>
      </c>
      <c r="E47" s="468">
        <v>50000</v>
      </c>
      <c r="F47" s="470">
        <f t="shared" si="0"/>
        <v>50000</v>
      </c>
      <c r="G47" s="468"/>
      <c r="H47" s="776"/>
      <c r="I47" s="468">
        <v>50000</v>
      </c>
      <c r="J47" s="468">
        <v>50000</v>
      </c>
      <c r="K47" s="468">
        <v>50000</v>
      </c>
      <c r="L47" s="468"/>
      <c r="M47" s="337"/>
    </row>
    <row r="48" spans="1:13" s="119" customFormat="1" ht="20.100000000000001" customHeight="1">
      <c r="A48" s="163"/>
      <c r="B48" s="170" t="s">
        <v>293</v>
      </c>
      <c r="C48" s="473"/>
      <c r="D48" s="468">
        <v>30000</v>
      </c>
      <c r="E48" s="468">
        <v>30000</v>
      </c>
      <c r="F48" s="470">
        <f t="shared" si="0"/>
        <v>30000</v>
      </c>
      <c r="G48" s="468"/>
      <c r="H48" s="776"/>
      <c r="I48" s="468">
        <v>30000</v>
      </c>
      <c r="J48" s="468">
        <v>30000</v>
      </c>
      <c r="K48" s="468">
        <v>30000</v>
      </c>
      <c r="L48" s="468"/>
      <c r="M48" s="337"/>
    </row>
    <row r="49" spans="1:13" s="119" customFormat="1" ht="20.100000000000001" customHeight="1">
      <c r="A49" s="163"/>
      <c r="B49" s="170" t="s">
        <v>1267</v>
      </c>
      <c r="C49" s="473"/>
      <c r="D49" s="468">
        <v>200000</v>
      </c>
      <c r="E49" s="468">
        <v>200000</v>
      </c>
      <c r="F49" s="470">
        <f t="shared" si="0"/>
        <v>200000</v>
      </c>
      <c r="G49" s="468"/>
      <c r="H49" s="776"/>
      <c r="I49" s="468">
        <v>300000</v>
      </c>
      <c r="J49" s="468">
        <v>250000</v>
      </c>
      <c r="K49" s="468">
        <v>250000</v>
      </c>
      <c r="L49" s="468"/>
      <c r="M49" s="337"/>
    </row>
    <row r="50" spans="1:13" s="119" customFormat="1" ht="20.100000000000001" customHeight="1">
      <c r="A50" s="163"/>
      <c r="B50" s="170" t="s">
        <v>1230</v>
      </c>
      <c r="C50" s="473"/>
      <c r="D50" s="468">
        <v>150000</v>
      </c>
      <c r="E50" s="468">
        <v>150000</v>
      </c>
      <c r="F50" s="470">
        <f t="shared" si="0"/>
        <v>150000</v>
      </c>
      <c r="G50" s="468"/>
      <c r="H50" s="776"/>
      <c r="I50" s="468">
        <v>150000</v>
      </c>
      <c r="J50" s="468">
        <v>150000</v>
      </c>
      <c r="K50" s="468">
        <v>150000</v>
      </c>
      <c r="L50" s="468"/>
      <c r="M50" s="337"/>
    </row>
    <row r="51" spans="1:13" s="119" customFormat="1" ht="20.100000000000001" customHeight="1">
      <c r="A51" s="163"/>
      <c r="B51" s="170" t="s">
        <v>696</v>
      </c>
      <c r="C51" s="473"/>
      <c r="D51" s="468">
        <v>50000</v>
      </c>
      <c r="E51" s="468">
        <v>50000</v>
      </c>
      <c r="F51" s="470">
        <f t="shared" si="0"/>
        <v>50000</v>
      </c>
      <c r="G51" s="468"/>
      <c r="H51" s="776"/>
      <c r="I51" s="468">
        <v>50000</v>
      </c>
      <c r="J51" s="468">
        <v>50000</v>
      </c>
      <c r="K51" s="468">
        <v>50000</v>
      </c>
      <c r="L51" s="468"/>
      <c r="M51" s="337"/>
    </row>
    <row r="52" spans="1:13" s="119" customFormat="1" ht="20.100000000000001" customHeight="1">
      <c r="A52" s="163"/>
      <c r="B52" s="170" t="s">
        <v>697</v>
      </c>
      <c r="C52" s="473"/>
      <c r="D52" s="468">
        <v>80000</v>
      </c>
      <c r="E52" s="468">
        <v>80000</v>
      </c>
      <c r="F52" s="470">
        <f t="shared" si="0"/>
        <v>80000</v>
      </c>
      <c r="G52" s="468"/>
      <c r="H52" s="776"/>
      <c r="I52" s="468">
        <v>80000</v>
      </c>
      <c r="J52" s="468">
        <v>80000</v>
      </c>
      <c r="K52" s="468">
        <v>80000</v>
      </c>
      <c r="L52" s="468"/>
      <c r="M52" s="337"/>
    </row>
    <row r="53" spans="1:13" s="119" customFormat="1" ht="20.100000000000001" customHeight="1">
      <c r="A53" s="163"/>
      <c r="B53" s="170" t="s">
        <v>443</v>
      </c>
      <c r="C53" s="473"/>
      <c r="D53" s="468">
        <v>10000</v>
      </c>
      <c r="E53" s="468">
        <v>10000</v>
      </c>
      <c r="F53" s="470">
        <f t="shared" si="0"/>
        <v>10000</v>
      </c>
      <c r="G53" s="468"/>
      <c r="H53" s="776"/>
      <c r="I53" s="468">
        <v>10000</v>
      </c>
      <c r="J53" s="468">
        <v>10000</v>
      </c>
      <c r="K53" s="468">
        <v>10000</v>
      </c>
      <c r="L53" s="468"/>
      <c r="M53" s="337"/>
    </row>
    <row r="54" spans="1:13" s="119" customFormat="1" ht="20.100000000000001" customHeight="1">
      <c r="A54" s="163"/>
      <c r="B54" s="170" t="s">
        <v>214</v>
      </c>
      <c r="C54" s="473"/>
      <c r="D54" s="468">
        <v>10000</v>
      </c>
      <c r="E54" s="468">
        <v>10000</v>
      </c>
      <c r="F54" s="470">
        <f t="shared" si="0"/>
        <v>10000</v>
      </c>
      <c r="G54" s="468"/>
      <c r="H54" s="776"/>
      <c r="I54" s="468">
        <v>10000</v>
      </c>
      <c r="J54" s="468">
        <v>10000</v>
      </c>
      <c r="K54" s="468">
        <v>10000</v>
      </c>
      <c r="L54" s="468"/>
      <c r="M54" s="337"/>
    </row>
    <row r="55" spans="1:13" s="119" customFormat="1" ht="20.100000000000001" customHeight="1">
      <c r="A55" s="163"/>
      <c r="B55" s="170" t="s">
        <v>455</v>
      </c>
      <c r="C55" s="473"/>
      <c r="D55" s="468">
        <v>10000</v>
      </c>
      <c r="E55" s="468">
        <v>10000</v>
      </c>
      <c r="F55" s="470">
        <f t="shared" si="0"/>
        <v>10000</v>
      </c>
      <c r="G55" s="468"/>
      <c r="H55" s="776"/>
      <c r="I55" s="468">
        <v>10000</v>
      </c>
      <c r="J55" s="468">
        <v>10000</v>
      </c>
      <c r="K55" s="468">
        <v>10000</v>
      </c>
      <c r="L55" s="468"/>
      <c r="M55" s="337"/>
    </row>
    <row r="56" spans="1:13" s="119" customFormat="1" ht="20.100000000000001" customHeight="1">
      <c r="A56" s="163"/>
      <c r="B56" s="170" t="s">
        <v>469</v>
      </c>
      <c r="C56" s="473"/>
      <c r="D56" s="468">
        <v>10000</v>
      </c>
      <c r="E56" s="468">
        <v>10000</v>
      </c>
      <c r="F56" s="470">
        <f t="shared" si="0"/>
        <v>10000</v>
      </c>
      <c r="G56" s="468"/>
      <c r="H56" s="776"/>
      <c r="I56" s="468">
        <v>10000</v>
      </c>
      <c r="J56" s="468">
        <v>10000</v>
      </c>
      <c r="K56" s="468">
        <v>10000</v>
      </c>
      <c r="L56" s="468"/>
      <c r="M56" s="337"/>
    </row>
    <row r="57" spans="1:13" s="119" customFormat="1" ht="20.100000000000001" customHeight="1">
      <c r="A57" s="173"/>
      <c r="B57" s="170" t="s">
        <v>1268</v>
      </c>
      <c r="C57" s="473"/>
      <c r="D57" s="468">
        <v>110000</v>
      </c>
      <c r="E57" s="468">
        <v>110000</v>
      </c>
      <c r="F57" s="470">
        <f t="shared" si="0"/>
        <v>110000</v>
      </c>
      <c r="G57" s="468"/>
      <c r="H57" s="776"/>
      <c r="I57" s="468">
        <f>52000+110000</f>
        <v>162000</v>
      </c>
      <c r="J57" s="468">
        <v>272000</v>
      </c>
      <c r="K57" s="468">
        <v>272000</v>
      </c>
      <c r="L57" s="468"/>
      <c r="M57" s="337"/>
    </row>
    <row r="58" spans="1:13" s="119" customFormat="1" ht="20.100000000000001" customHeight="1">
      <c r="A58" s="173"/>
      <c r="B58" s="170" t="s">
        <v>736</v>
      </c>
      <c r="C58" s="473"/>
      <c r="D58" s="468">
        <v>100000</v>
      </c>
      <c r="E58" s="468">
        <v>100000</v>
      </c>
      <c r="F58" s="470">
        <f t="shared" si="0"/>
        <v>100000</v>
      </c>
      <c r="G58" s="468"/>
      <c r="H58" s="776"/>
      <c r="I58" s="468">
        <v>103000</v>
      </c>
      <c r="J58" s="468">
        <v>100000</v>
      </c>
      <c r="K58" s="468">
        <v>100000</v>
      </c>
      <c r="L58" s="468"/>
      <c r="M58" s="337"/>
    </row>
    <row r="59" spans="1:13" s="119" customFormat="1" ht="20.100000000000001" customHeight="1">
      <c r="A59" s="173"/>
      <c r="B59" s="170" t="s">
        <v>328</v>
      </c>
      <c r="C59" s="473"/>
      <c r="D59" s="468">
        <v>156000</v>
      </c>
      <c r="E59" s="468">
        <v>156000</v>
      </c>
      <c r="F59" s="470">
        <f t="shared" si="0"/>
        <v>156000</v>
      </c>
      <c r="G59" s="468"/>
      <c r="H59" s="776"/>
      <c r="I59" s="468">
        <v>156000</v>
      </c>
      <c r="J59" s="468">
        <v>228000</v>
      </c>
      <c r="K59" s="468">
        <v>228000</v>
      </c>
      <c r="L59" s="468"/>
      <c r="M59" s="337"/>
    </row>
    <row r="60" spans="1:13" s="119" customFormat="1" ht="20.100000000000001" customHeight="1">
      <c r="A60" s="173"/>
      <c r="B60" s="170" t="s">
        <v>1269</v>
      </c>
      <c r="C60" s="473"/>
      <c r="D60" s="468">
        <v>96744</v>
      </c>
      <c r="E60" s="468">
        <f>28*0.2*1390*12</f>
        <v>93408.000000000015</v>
      </c>
      <c r="F60" s="470">
        <f t="shared" si="0"/>
        <v>93408.000000000015</v>
      </c>
      <c r="G60" s="468"/>
      <c r="H60" s="776"/>
      <c r="I60" s="468">
        <f>29*0.2*1490*12</f>
        <v>103704.00000000003</v>
      </c>
      <c r="J60" s="468">
        <v>103704</v>
      </c>
      <c r="K60" s="468">
        <v>103704</v>
      </c>
      <c r="L60" s="468"/>
      <c r="M60" s="337"/>
    </row>
    <row r="61" spans="1:13" s="119" customFormat="1" ht="20.100000000000001" customHeight="1">
      <c r="A61" s="173"/>
      <c r="B61" s="170" t="s">
        <v>161</v>
      </c>
      <c r="C61" s="473"/>
      <c r="D61" s="468">
        <v>16000</v>
      </c>
      <c r="E61" s="468">
        <v>16000</v>
      </c>
      <c r="F61" s="470">
        <f t="shared" si="0"/>
        <v>16000</v>
      </c>
      <c r="G61" s="468"/>
      <c r="H61" s="776"/>
      <c r="I61" s="468">
        <v>16000</v>
      </c>
      <c r="J61" s="468">
        <v>16000</v>
      </c>
      <c r="K61" s="468">
        <v>16000</v>
      </c>
      <c r="L61" s="468"/>
      <c r="M61" s="337"/>
    </row>
    <row r="62" spans="1:13" s="119" customFormat="1" ht="20.100000000000001" customHeight="1">
      <c r="A62" s="173"/>
      <c r="B62" s="170" t="s">
        <v>46</v>
      </c>
      <c r="C62" s="473"/>
      <c r="D62" s="468">
        <v>200000</v>
      </c>
      <c r="E62" s="468">
        <v>200000</v>
      </c>
      <c r="F62" s="470">
        <f t="shared" si="0"/>
        <v>200000</v>
      </c>
      <c r="G62" s="468"/>
      <c r="H62" s="776"/>
      <c r="I62" s="468">
        <v>300000</v>
      </c>
      <c r="J62" s="468">
        <v>300000</v>
      </c>
      <c r="K62" s="468">
        <v>200000</v>
      </c>
      <c r="L62" s="468">
        <v>100000</v>
      </c>
      <c r="M62" s="337"/>
    </row>
    <row r="63" spans="1:13" s="119" customFormat="1" ht="20.100000000000001" customHeight="1">
      <c r="A63" s="173"/>
      <c r="B63" s="170" t="s">
        <v>1270</v>
      </c>
      <c r="C63" s="473"/>
      <c r="D63" s="468">
        <f>11*1390*12*0.3</f>
        <v>55044</v>
      </c>
      <c r="E63" s="468">
        <v>55044</v>
      </c>
      <c r="F63" s="470">
        <f t="shared" si="0"/>
        <v>55044</v>
      </c>
      <c r="G63" s="468"/>
      <c r="H63" s="776"/>
      <c r="I63" s="468">
        <f>11*0.3*1490*12</f>
        <v>59004</v>
      </c>
      <c r="J63" s="468">
        <v>59004</v>
      </c>
      <c r="K63" s="468">
        <v>59004</v>
      </c>
      <c r="L63" s="468"/>
      <c r="M63" s="339"/>
    </row>
    <row r="64" spans="1:13" s="119" customFormat="1" ht="20.100000000000001" customHeight="1">
      <c r="A64" s="173"/>
      <c r="B64" s="170" t="s">
        <v>50</v>
      </c>
      <c r="C64" s="473"/>
      <c r="D64" s="468">
        <v>30000</v>
      </c>
      <c r="E64" s="468">
        <v>30000</v>
      </c>
      <c r="F64" s="470">
        <f t="shared" si="0"/>
        <v>30000</v>
      </c>
      <c r="G64" s="468"/>
      <c r="H64" s="776"/>
      <c r="I64" s="468">
        <v>30000</v>
      </c>
      <c r="J64" s="468">
        <v>30000</v>
      </c>
      <c r="K64" s="468">
        <v>30000</v>
      </c>
      <c r="L64" s="468"/>
      <c r="M64" s="339"/>
    </row>
    <row r="65" spans="1:13" s="119" customFormat="1" ht="20.100000000000001" customHeight="1">
      <c r="A65" s="173"/>
      <c r="B65" s="170" t="s">
        <v>44</v>
      </c>
      <c r="C65" s="473"/>
      <c r="D65" s="468">
        <v>30000</v>
      </c>
      <c r="E65" s="468">
        <v>30000</v>
      </c>
      <c r="F65" s="470">
        <f t="shared" si="0"/>
        <v>30000</v>
      </c>
      <c r="G65" s="468"/>
      <c r="H65" s="776"/>
      <c r="I65" s="468">
        <v>30000</v>
      </c>
      <c r="J65" s="468">
        <v>30000</v>
      </c>
      <c r="K65" s="468">
        <v>30000</v>
      </c>
      <c r="L65" s="468"/>
      <c r="M65" s="339"/>
    </row>
    <row r="66" spans="1:13" s="119" customFormat="1" ht="20.100000000000001" customHeight="1">
      <c r="A66" s="173"/>
      <c r="B66" s="170" t="s">
        <v>852</v>
      </c>
      <c r="C66" s="473"/>
      <c r="D66" s="468">
        <v>250000</v>
      </c>
      <c r="E66" s="468">
        <v>250000</v>
      </c>
      <c r="F66" s="470">
        <f t="shared" si="0"/>
        <v>250000</v>
      </c>
      <c r="G66" s="468"/>
      <c r="H66" s="776"/>
      <c r="I66" s="468">
        <v>250000</v>
      </c>
      <c r="J66" s="468">
        <v>250000</v>
      </c>
      <c r="K66" s="468">
        <v>250000</v>
      </c>
      <c r="L66" s="468"/>
      <c r="M66" s="761" t="s">
        <v>1271</v>
      </c>
    </row>
    <row r="67" spans="1:13" s="119" customFormat="1" ht="20.100000000000001" customHeight="1">
      <c r="A67" s="690"/>
      <c r="B67" s="784" t="s">
        <v>854</v>
      </c>
      <c r="C67" s="695"/>
      <c r="D67" s="468">
        <v>5000</v>
      </c>
      <c r="E67" s="468">
        <v>5000</v>
      </c>
      <c r="F67" s="470">
        <f t="shared" si="0"/>
        <v>5000</v>
      </c>
      <c r="G67" s="468"/>
      <c r="H67" s="776"/>
      <c r="I67" s="468">
        <v>5000</v>
      </c>
      <c r="J67" s="468">
        <v>5000</v>
      </c>
      <c r="K67" s="468">
        <v>5000</v>
      </c>
      <c r="L67" s="468"/>
      <c r="M67" s="639"/>
    </row>
    <row r="68" spans="1:13" s="119" customFormat="1" ht="20.100000000000001" customHeight="1">
      <c r="A68" s="173"/>
      <c r="B68" s="477" t="s">
        <v>855</v>
      </c>
      <c r="C68" s="473"/>
      <c r="D68" s="468">
        <v>15000</v>
      </c>
      <c r="E68" s="468">
        <v>15000</v>
      </c>
      <c r="F68" s="470">
        <f t="shared" si="0"/>
        <v>15000</v>
      </c>
      <c r="G68" s="468"/>
      <c r="H68" s="776"/>
      <c r="I68" s="468"/>
      <c r="J68" s="468"/>
      <c r="K68" s="468"/>
      <c r="L68" s="468"/>
      <c r="M68" s="639"/>
    </row>
    <row r="69" spans="1:13" s="119" customFormat="1" ht="32.25" customHeight="1">
      <c r="A69" s="173"/>
      <c r="B69" s="170" t="s">
        <v>856</v>
      </c>
      <c r="C69" s="473"/>
      <c r="D69" s="468">
        <v>200000</v>
      </c>
      <c r="E69" s="468">
        <v>200000</v>
      </c>
      <c r="F69" s="470">
        <f t="shared" si="0"/>
        <v>200000</v>
      </c>
      <c r="G69" s="468"/>
      <c r="H69" s="776"/>
      <c r="I69" s="468">
        <v>200000</v>
      </c>
      <c r="J69" s="468">
        <v>200000</v>
      </c>
      <c r="K69" s="468">
        <v>200000</v>
      </c>
      <c r="L69" s="468"/>
      <c r="M69" s="761"/>
    </row>
    <row r="70" spans="1:13" s="119" customFormat="1" ht="47.25" customHeight="1">
      <c r="A70" s="173"/>
      <c r="B70" s="170" t="s">
        <v>1272</v>
      </c>
      <c r="C70" s="473"/>
      <c r="D70" s="468"/>
      <c r="E70" s="468"/>
      <c r="F70" s="470"/>
      <c r="G70" s="468"/>
      <c r="H70" s="776"/>
      <c r="I70" s="468">
        <v>100000</v>
      </c>
      <c r="J70" s="468">
        <v>100000</v>
      </c>
      <c r="K70" s="468">
        <v>100000</v>
      </c>
      <c r="L70" s="468"/>
      <c r="M70" s="761"/>
    </row>
    <row r="71" spans="1:13" s="119" customFormat="1" ht="20.100000000000001" customHeight="1">
      <c r="A71" s="173"/>
      <c r="B71" s="170" t="s">
        <v>1273</v>
      </c>
      <c r="C71" s="473"/>
      <c r="D71" s="468"/>
      <c r="E71" s="468"/>
      <c r="F71" s="470"/>
      <c r="G71" s="468"/>
      <c r="H71" s="776"/>
      <c r="I71" s="468">
        <v>50000</v>
      </c>
      <c r="J71" s="468">
        <v>25000</v>
      </c>
      <c r="K71" s="468">
        <v>25000</v>
      </c>
      <c r="L71" s="468"/>
      <c r="M71" s="761"/>
    </row>
    <row r="72" spans="1:13" s="119" customFormat="1" ht="20.100000000000001" customHeight="1">
      <c r="A72" s="173"/>
      <c r="B72" s="170" t="s">
        <v>1274</v>
      </c>
      <c r="C72" s="473"/>
      <c r="D72" s="468"/>
      <c r="E72" s="468"/>
      <c r="F72" s="470"/>
      <c r="G72" s="468"/>
      <c r="H72" s="776"/>
      <c r="I72" s="468">
        <v>30000</v>
      </c>
      <c r="J72" s="468">
        <v>30000</v>
      </c>
      <c r="K72" s="468">
        <v>30000</v>
      </c>
      <c r="L72" s="468"/>
      <c r="M72" s="761"/>
    </row>
    <row r="73" spans="1:13" s="119" customFormat="1" ht="20.100000000000001" customHeight="1">
      <c r="A73" s="173"/>
      <c r="B73" s="170" t="s">
        <v>1275</v>
      </c>
      <c r="C73" s="473"/>
      <c r="D73" s="468"/>
      <c r="E73" s="468"/>
      <c r="F73" s="470"/>
      <c r="G73" s="468"/>
      <c r="H73" s="776"/>
      <c r="I73" s="468">
        <v>200000</v>
      </c>
      <c r="J73" s="468">
        <v>200000</v>
      </c>
      <c r="K73" s="468">
        <v>200000</v>
      </c>
      <c r="L73" s="468"/>
      <c r="M73" s="761"/>
    </row>
    <row r="74" spans="1:13" s="119" customFormat="1" ht="20.100000000000001" customHeight="1">
      <c r="A74" s="173"/>
      <c r="B74" s="170" t="s">
        <v>1276</v>
      </c>
      <c r="C74" s="473"/>
      <c r="D74" s="468"/>
      <c r="E74" s="468"/>
      <c r="F74" s="470"/>
      <c r="G74" s="468"/>
      <c r="H74" s="776"/>
      <c r="I74" s="468">
        <v>51000</v>
      </c>
      <c r="J74" s="468">
        <v>51000</v>
      </c>
      <c r="K74" s="468">
        <v>51000</v>
      </c>
      <c r="L74" s="468"/>
      <c r="M74" s="761"/>
    </row>
    <row r="75" spans="1:13" s="119" customFormat="1" ht="20.100000000000001" customHeight="1">
      <c r="A75" s="173"/>
      <c r="B75" s="170" t="s">
        <v>1277</v>
      </c>
      <c r="C75" s="473"/>
      <c r="D75" s="468"/>
      <c r="E75" s="468"/>
      <c r="F75" s="470"/>
      <c r="G75" s="468"/>
      <c r="H75" s="776"/>
      <c r="I75" s="468">
        <f>26*1250</f>
        <v>32500</v>
      </c>
      <c r="J75" s="468">
        <f>14*1250</f>
        <v>17500</v>
      </c>
      <c r="K75" s="468">
        <f>14*1250</f>
        <v>17500</v>
      </c>
      <c r="L75" s="468"/>
      <c r="M75" s="623" t="s">
        <v>1278</v>
      </c>
    </row>
    <row r="76" spans="1:13" s="119" customFormat="1" ht="20.100000000000001" customHeight="1">
      <c r="A76" s="176">
        <v>2</v>
      </c>
      <c r="B76" s="785" t="s">
        <v>215</v>
      </c>
      <c r="C76" s="786"/>
      <c r="D76" s="787">
        <f>SUM(D78:D102)</f>
        <v>1682560</v>
      </c>
      <c r="E76" s="787">
        <f>SUM(E78:E102)</f>
        <v>1495560</v>
      </c>
      <c r="F76" s="787">
        <f>SUM(F78:F102)</f>
        <v>1495560</v>
      </c>
      <c r="G76" s="787"/>
      <c r="H76" s="789"/>
      <c r="I76" s="787">
        <f>SUM(I78:I104)</f>
        <v>1728380</v>
      </c>
      <c r="J76" s="787">
        <f>SUM(J78:J104)</f>
        <v>1484380</v>
      </c>
      <c r="K76" s="787">
        <f>SUM(K78:K104)</f>
        <v>1484380</v>
      </c>
      <c r="L76" s="787"/>
      <c r="M76" s="790"/>
    </row>
    <row r="77" spans="1:13" s="119" customFormat="1" ht="20.100000000000001" customHeight="1">
      <c r="A77" s="171"/>
      <c r="B77" s="170" t="s">
        <v>470</v>
      </c>
      <c r="C77" s="485"/>
      <c r="D77" s="484"/>
      <c r="E77" s="484"/>
      <c r="F77" s="470">
        <f t="shared" si="0"/>
        <v>0</v>
      </c>
      <c r="G77" s="484"/>
      <c r="H77" s="791"/>
      <c r="I77" s="484"/>
      <c r="J77" s="484"/>
      <c r="K77" s="484"/>
      <c r="L77" s="484"/>
      <c r="M77" s="626"/>
    </row>
    <row r="78" spans="1:13" s="119" customFormat="1" ht="20.100000000000001" customHeight="1">
      <c r="A78" s="171"/>
      <c r="B78" s="170" t="s">
        <v>1279</v>
      </c>
      <c r="C78" s="485"/>
      <c r="D78" s="484">
        <v>21000</v>
      </c>
      <c r="E78" s="484">
        <f>D78</f>
        <v>21000</v>
      </c>
      <c r="F78" s="470">
        <f t="shared" si="0"/>
        <v>21000</v>
      </c>
      <c r="G78" s="484"/>
      <c r="H78" s="791"/>
      <c r="I78" s="484">
        <f>14000+2*5500</f>
        <v>25000</v>
      </c>
      <c r="J78" s="484">
        <v>25000</v>
      </c>
      <c r="K78" s="484">
        <v>25000</v>
      </c>
      <c r="L78" s="484"/>
      <c r="M78" s="626"/>
    </row>
    <row r="79" spans="1:13" s="119" customFormat="1" ht="20.100000000000001" customHeight="1">
      <c r="A79" s="171"/>
      <c r="B79" s="170" t="s">
        <v>212</v>
      </c>
      <c r="C79" s="485"/>
      <c r="D79" s="484">
        <v>35000</v>
      </c>
      <c r="E79" s="484">
        <f>D79</f>
        <v>35000</v>
      </c>
      <c r="F79" s="470">
        <f t="shared" si="0"/>
        <v>35000</v>
      </c>
      <c r="G79" s="484"/>
      <c r="H79" s="791"/>
      <c r="I79" s="484">
        <v>50000</v>
      </c>
      <c r="J79" s="484">
        <v>35000</v>
      </c>
      <c r="K79" s="484">
        <v>35000</v>
      </c>
      <c r="L79" s="484"/>
      <c r="M79" s="626"/>
    </row>
    <row r="80" spans="1:13" s="119" customFormat="1" ht="20.100000000000001" customHeight="1">
      <c r="A80" s="171"/>
      <c r="B80" s="170" t="s">
        <v>45</v>
      </c>
      <c r="C80" s="485"/>
      <c r="D80" s="484">
        <v>8000</v>
      </c>
      <c r="E80" s="484">
        <f>D80</f>
        <v>8000</v>
      </c>
      <c r="F80" s="470">
        <f t="shared" si="0"/>
        <v>8000</v>
      </c>
      <c r="G80" s="484"/>
      <c r="H80" s="791"/>
      <c r="I80" s="484">
        <v>8000</v>
      </c>
      <c r="J80" s="484">
        <v>8000</v>
      </c>
      <c r="K80" s="484">
        <v>8000</v>
      </c>
      <c r="L80" s="484"/>
      <c r="M80" s="626"/>
    </row>
    <row r="81" spans="1:13" s="119" customFormat="1" ht="20.100000000000001" customHeight="1">
      <c r="A81" s="171"/>
      <c r="B81" s="170" t="s">
        <v>1170</v>
      </c>
      <c r="C81" s="485"/>
      <c r="D81" s="484">
        <v>128000</v>
      </c>
      <c r="E81" s="484">
        <v>128000</v>
      </c>
      <c r="F81" s="470">
        <f t="shared" si="0"/>
        <v>128000</v>
      </c>
      <c r="G81" s="484"/>
      <c r="H81" s="791"/>
      <c r="I81" s="484"/>
      <c r="J81" s="484"/>
      <c r="K81" s="484"/>
      <c r="L81" s="484"/>
      <c r="M81" s="626"/>
    </row>
    <row r="82" spans="1:13" s="119" customFormat="1" ht="20.100000000000001" customHeight="1">
      <c r="A82" s="171"/>
      <c r="B82" s="170" t="s">
        <v>857</v>
      </c>
      <c r="C82" s="485"/>
      <c r="D82" s="484">
        <v>6700</v>
      </c>
      <c r="E82" s="484">
        <f>D82</f>
        <v>6700</v>
      </c>
      <c r="F82" s="470">
        <f t="shared" si="0"/>
        <v>6700</v>
      </c>
      <c r="G82" s="484"/>
      <c r="H82" s="791"/>
      <c r="I82" s="484"/>
      <c r="J82" s="484"/>
      <c r="K82" s="484"/>
      <c r="L82" s="484"/>
      <c r="M82" s="626"/>
    </row>
    <row r="83" spans="1:13" s="119" customFormat="1" ht="20.100000000000001" customHeight="1">
      <c r="A83" s="173"/>
      <c r="B83" s="170" t="s">
        <v>381</v>
      </c>
      <c r="C83" s="485"/>
      <c r="D83" s="484">
        <v>231860</v>
      </c>
      <c r="E83" s="484">
        <v>231860</v>
      </c>
      <c r="F83" s="470">
        <v>231860</v>
      </c>
      <c r="G83" s="484"/>
      <c r="H83" s="791"/>
      <c r="I83" s="484">
        <v>241380</v>
      </c>
      <c r="J83" s="484">
        <v>241380</v>
      </c>
      <c r="K83" s="484">
        <v>241380</v>
      </c>
      <c r="L83" s="484"/>
      <c r="M83" s="626"/>
    </row>
    <row r="84" spans="1:13" s="119" customFormat="1" ht="20.100000000000001" customHeight="1">
      <c r="A84" s="171"/>
      <c r="B84" s="170" t="s">
        <v>1280</v>
      </c>
      <c r="C84" s="485"/>
      <c r="D84" s="484">
        <v>6000</v>
      </c>
      <c r="E84" s="484">
        <v>6000</v>
      </c>
      <c r="F84" s="470">
        <f t="shared" ref="F84:F147" si="2">E84</f>
        <v>6000</v>
      </c>
      <c r="G84" s="484"/>
      <c r="H84" s="791"/>
      <c r="I84" s="484">
        <f>4*500*5</f>
        <v>10000</v>
      </c>
      <c r="J84" s="484">
        <v>10000</v>
      </c>
      <c r="K84" s="484">
        <v>10000</v>
      </c>
      <c r="L84" s="484"/>
      <c r="M84" s="626"/>
    </row>
    <row r="85" spans="1:13" s="119" customFormat="1" ht="20.100000000000001" customHeight="1">
      <c r="A85" s="173"/>
      <c r="B85" s="170" t="s">
        <v>435</v>
      </c>
      <c r="C85" s="485"/>
      <c r="D85" s="484">
        <v>30000</v>
      </c>
      <c r="E85" s="484">
        <v>30000</v>
      </c>
      <c r="F85" s="470">
        <f t="shared" si="2"/>
        <v>30000</v>
      </c>
      <c r="G85" s="484"/>
      <c r="H85" s="791"/>
      <c r="I85" s="484">
        <v>50000</v>
      </c>
      <c r="J85" s="484">
        <v>30000</v>
      </c>
      <c r="K85" s="484">
        <v>30000</v>
      </c>
      <c r="L85" s="484"/>
      <c r="M85" s="626"/>
    </row>
    <row r="86" spans="1:13" s="119" customFormat="1" ht="20.100000000000001" customHeight="1">
      <c r="A86" s="173"/>
      <c r="B86" s="170" t="s">
        <v>329</v>
      </c>
      <c r="C86" s="485"/>
      <c r="D86" s="484">
        <v>200000</v>
      </c>
      <c r="E86" s="484">
        <v>200000</v>
      </c>
      <c r="F86" s="470">
        <f t="shared" si="2"/>
        <v>200000</v>
      </c>
      <c r="G86" s="484"/>
      <c r="H86" s="791"/>
      <c r="I86" s="484">
        <v>250000</v>
      </c>
      <c r="J86" s="484">
        <v>200000</v>
      </c>
      <c r="K86" s="484">
        <v>200000</v>
      </c>
      <c r="L86" s="484"/>
      <c r="M86" s="761" t="s">
        <v>858</v>
      </c>
    </row>
    <row r="87" spans="1:13" s="119" customFormat="1" ht="20.100000000000001" customHeight="1">
      <c r="A87" s="173"/>
      <c r="B87" s="170" t="s">
        <v>859</v>
      </c>
      <c r="C87" s="485"/>
      <c r="D87" s="484">
        <v>72000</v>
      </c>
      <c r="E87" s="484">
        <v>72000</v>
      </c>
      <c r="F87" s="470">
        <f t="shared" si="2"/>
        <v>72000</v>
      </c>
      <c r="G87" s="484"/>
      <c r="H87" s="791"/>
      <c r="I87" s="484">
        <v>72000</v>
      </c>
      <c r="J87" s="484">
        <v>72000</v>
      </c>
      <c r="K87" s="484">
        <v>72000</v>
      </c>
      <c r="L87" s="484"/>
      <c r="M87" s="626"/>
    </row>
    <row r="88" spans="1:13" s="119" customFormat="1" ht="20.100000000000001" customHeight="1">
      <c r="A88" s="173"/>
      <c r="B88" s="170" t="s">
        <v>1281</v>
      </c>
      <c r="C88" s="485"/>
      <c r="D88" s="484">
        <v>80000</v>
      </c>
      <c r="E88" s="484">
        <v>68000</v>
      </c>
      <c r="F88" s="470">
        <f t="shared" si="2"/>
        <v>68000</v>
      </c>
      <c r="G88" s="484"/>
      <c r="H88" s="791"/>
      <c r="I88" s="484">
        <v>80000</v>
      </c>
      <c r="J88" s="484">
        <v>80000</v>
      </c>
      <c r="K88" s="484">
        <v>80000</v>
      </c>
      <c r="L88" s="484"/>
      <c r="M88" s="626"/>
    </row>
    <row r="89" spans="1:13" s="119" customFormat="1" ht="20.100000000000001" customHeight="1">
      <c r="A89" s="173"/>
      <c r="B89" s="170" t="s">
        <v>860</v>
      </c>
      <c r="C89" s="485"/>
      <c r="D89" s="484">
        <f>28*1500</f>
        <v>42000</v>
      </c>
      <c r="E89" s="484">
        <v>42000</v>
      </c>
      <c r="F89" s="470">
        <f t="shared" si="2"/>
        <v>42000</v>
      </c>
      <c r="G89" s="484"/>
      <c r="H89" s="791"/>
      <c r="I89" s="484">
        <v>42000</v>
      </c>
      <c r="J89" s="484">
        <v>42000</v>
      </c>
      <c r="K89" s="484">
        <v>42000</v>
      </c>
      <c r="L89" s="484"/>
      <c r="M89" s="626"/>
    </row>
    <row r="90" spans="1:13" s="119" customFormat="1" ht="20.100000000000001" customHeight="1">
      <c r="A90" s="173"/>
      <c r="B90" s="170" t="s">
        <v>861</v>
      </c>
      <c r="C90" s="485"/>
      <c r="D90" s="484">
        <v>300000</v>
      </c>
      <c r="E90" s="484">
        <v>270000</v>
      </c>
      <c r="F90" s="470">
        <f t="shared" si="2"/>
        <v>270000</v>
      </c>
      <c r="G90" s="484"/>
      <c r="H90" s="791"/>
      <c r="I90" s="484">
        <v>300000</v>
      </c>
      <c r="J90" s="484">
        <v>270000</v>
      </c>
      <c r="K90" s="484">
        <v>270000</v>
      </c>
      <c r="L90" s="484"/>
      <c r="M90" s="626"/>
    </row>
    <row r="91" spans="1:13" s="119" customFormat="1" ht="20.100000000000001" customHeight="1">
      <c r="A91" s="173"/>
      <c r="B91" s="170" t="s">
        <v>331</v>
      </c>
      <c r="C91" s="485"/>
      <c r="D91" s="484">
        <v>28000</v>
      </c>
      <c r="E91" s="484">
        <v>28000</v>
      </c>
      <c r="F91" s="470">
        <f t="shared" si="2"/>
        <v>28000</v>
      </c>
      <c r="G91" s="484"/>
      <c r="H91" s="791"/>
      <c r="I91" s="484">
        <v>28000</v>
      </c>
      <c r="J91" s="484">
        <v>28000</v>
      </c>
      <c r="K91" s="484">
        <v>28000</v>
      </c>
      <c r="L91" s="484"/>
      <c r="M91" s="626"/>
    </row>
    <row r="92" spans="1:13" s="119" customFormat="1" ht="20.100000000000001" customHeight="1">
      <c r="A92" s="173"/>
      <c r="B92" s="170" t="s">
        <v>398</v>
      </c>
      <c r="C92" s="485"/>
      <c r="D92" s="484">
        <v>25000</v>
      </c>
      <c r="E92" s="484">
        <v>15000</v>
      </c>
      <c r="F92" s="470">
        <f t="shared" si="2"/>
        <v>15000</v>
      </c>
      <c r="G92" s="484"/>
      <c r="H92" s="791"/>
      <c r="I92" s="484">
        <v>25000</v>
      </c>
      <c r="J92" s="484">
        <v>15000</v>
      </c>
      <c r="K92" s="484">
        <v>15000</v>
      </c>
      <c r="L92" s="484"/>
      <c r="M92" s="626"/>
    </row>
    <row r="93" spans="1:13" s="119" customFormat="1" ht="20.100000000000001" customHeight="1">
      <c r="A93" s="173"/>
      <c r="B93" s="170" t="s">
        <v>336</v>
      </c>
      <c r="C93" s="485"/>
      <c r="D93" s="484">
        <v>48000</v>
      </c>
      <c r="E93" s="484">
        <v>48000</v>
      </c>
      <c r="F93" s="470">
        <f t="shared" si="2"/>
        <v>48000</v>
      </c>
      <c r="G93" s="484"/>
      <c r="H93" s="791"/>
      <c r="I93" s="484">
        <v>48000</v>
      </c>
      <c r="J93" s="484">
        <v>72000</v>
      </c>
      <c r="K93" s="484">
        <v>72000</v>
      </c>
      <c r="L93" s="484"/>
      <c r="M93" s="626"/>
    </row>
    <row r="94" spans="1:13" s="119" customFormat="1" ht="20.100000000000001" customHeight="1">
      <c r="A94" s="173"/>
      <c r="B94" s="170" t="s">
        <v>862</v>
      </c>
      <c r="C94" s="485"/>
      <c r="D94" s="484">
        <v>60000</v>
      </c>
      <c r="E94" s="484">
        <v>50000</v>
      </c>
      <c r="F94" s="470">
        <f t="shared" si="2"/>
        <v>50000</v>
      </c>
      <c r="G94" s="484"/>
      <c r="H94" s="791"/>
      <c r="I94" s="484">
        <v>120000</v>
      </c>
      <c r="J94" s="484">
        <v>50000</v>
      </c>
      <c r="K94" s="484">
        <v>50000</v>
      </c>
      <c r="L94" s="484"/>
      <c r="M94" s="761"/>
    </row>
    <row r="95" spans="1:13" s="119" customFormat="1" ht="20.100000000000001" customHeight="1">
      <c r="A95" s="173"/>
      <c r="B95" s="170" t="s">
        <v>332</v>
      </c>
      <c r="C95" s="485"/>
      <c r="D95" s="484">
        <v>60000</v>
      </c>
      <c r="E95" s="484">
        <v>40000</v>
      </c>
      <c r="F95" s="470">
        <f t="shared" si="2"/>
        <v>40000</v>
      </c>
      <c r="G95" s="484"/>
      <c r="H95" s="791"/>
      <c r="I95" s="484">
        <v>60000</v>
      </c>
      <c r="J95" s="484">
        <v>50000</v>
      </c>
      <c r="K95" s="484">
        <v>50000</v>
      </c>
      <c r="L95" s="484"/>
      <c r="M95" s="761" t="s">
        <v>333</v>
      </c>
    </row>
    <row r="96" spans="1:13" s="119" customFormat="1" ht="20.100000000000001" customHeight="1">
      <c r="A96" s="173"/>
      <c r="B96" s="170" t="s">
        <v>334</v>
      </c>
      <c r="C96" s="485"/>
      <c r="D96" s="484">
        <v>60000</v>
      </c>
      <c r="E96" s="484">
        <v>40000</v>
      </c>
      <c r="F96" s="470">
        <f t="shared" si="2"/>
        <v>40000</v>
      </c>
      <c r="G96" s="484"/>
      <c r="H96" s="791"/>
      <c r="I96" s="484">
        <v>60000</v>
      </c>
      <c r="J96" s="484">
        <v>50000</v>
      </c>
      <c r="K96" s="484">
        <v>50000</v>
      </c>
      <c r="L96" s="484"/>
      <c r="M96" s="761" t="s">
        <v>333</v>
      </c>
    </row>
    <row r="97" spans="1:14" s="119" customFormat="1" ht="20.100000000000001" customHeight="1">
      <c r="A97" s="173"/>
      <c r="B97" s="170" t="s">
        <v>335</v>
      </c>
      <c r="C97" s="485"/>
      <c r="D97" s="484">
        <v>40000</v>
      </c>
      <c r="E97" s="484">
        <v>20000</v>
      </c>
      <c r="F97" s="470">
        <f t="shared" si="2"/>
        <v>20000</v>
      </c>
      <c r="G97" s="484"/>
      <c r="H97" s="791"/>
      <c r="I97" s="484">
        <v>40000</v>
      </c>
      <c r="J97" s="484">
        <v>20000</v>
      </c>
      <c r="K97" s="484">
        <v>20000</v>
      </c>
      <c r="L97" s="484"/>
      <c r="M97" s="761" t="s">
        <v>1282</v>
      </c>
    </row>
    <row r="98" spans="1:14" s="119" customFormat="1" ht="20.100000000000001" customHeight="1">
      <c r="A98" s="173"/>
      <c r="B98" s="170" t="s">
        <v>1283</v>
      </c>
      <c r="C98" s="485"/>
      <c r="D98" s="484">
        <v>70000</v>
      </c>
      <c r="E98" s="484">
        <v>20000</v>
      </c>
      <c r="F98" s="470">
        <f t="shared" si="2"/>
        <v>20000</v>
      </c>
      <c r="G98" s="484"/>
      <c r="H98" s="791"/>
      <c r="I98" s="484">
        <v>70000</v>
      </c>
      <c r="J98" s="484">
        <v>40000</v>
      </c>
      <c r="K98" s="484">
        <v>40000</v>
      </c>
      <c r="L98" s="484"/>
      <c r="M98" s="761"/>
    </row>
    <row r="99" spans="1:14" s="119" customFormat="1" ht="20.100000000000001" customHeight="1">
      <c r="A99" s="173"/>
      <c r="B99" s="170" t="s">
        <v>865</v>
      </c>
      <c r="C99" s="485"/>
      <c r="D99" s="484">
        <v>60000</v>
      </c>
      <c r="E99" s="484">
        <v>60000</v>
      </c>
      <c r="F99" s="470">
        <f t="shared" si="2"/>
        <v>60000</v>
      </c>
      <c r="G99" s="484"/>
      <c r="H99" s="791"/>
      <c r="I99" s="484">
        <v>60000</v>
      </c>
      <c r="J99" s="484">
        <v>60000</v>
      </c>
      <c r="K99" s="484">
        <v>60000</v>
      </c>
      <c r="L99" s="484"/>
      <c r="M99" s="626"/>
    </row>
    <row r="100" spans="1:14" s="119" customFormat="1" ht="20.100000000000001" customHeight="1">
      <c r="A100" s="173"/>
      <c r="B100" s="170" t="s">
        <v>866</v>
      </c>
      <c r="C100" s="485"/>
      <c r="D100" s="484">
        <v>26000</v>
      </c>
      <c r="E100" s="484">
        <v>26000</v>
      </c>
      <c r="F100" s="470">
        <f t="shared" si="2"/>
        <v>26000</v>
      </c>
      <c r="G100" s="484"/>
      <c r="H100" s="791"/>
      <c r="I100" s="484"/>
      <c r="J100" s="484"/>
      <c r="K100" s="484"/>
      <c r="L100" s="484"/>
      <c r="M100" s="761"/>
    </row>
    <row r="101" spans="1:14" s="119" customFormat="1" ht="20.100000000000001" customHeight="1">
      <c r="A101" s="173"/>
      <c r="B101" s="170" t="s">
        <v>867</v>
      </c>
      <c r="C101" s="485"/>
      <c r="D101" s="484">
        <v>30000</v>
      </c>
      <c r="E101" s="484">
        <v>15000</v>
      </c>
      <c r="F101" s="470">
        <f t="shared" si="2"/>
        <v>15000</v>
      </c>
      <c r="G101" s="484"/>
      <c r="H101" s="791"/>
      <c r="I101" s="484"/>
      <c r="J101" s="484"/>
      <c r="K101" s="484"/>
      <c r="L101" s="484"/>
      <c r="M101" s="761"/>
    </row>
    <row r="102" spans="1:14" s="119" customFormat="1" ht="20.100000000000001" customHeight="1">
      <c r="A102" s="173"/>
      <c r="B102" s="170" t="s">
        <v>868</v>
      </c>
      <c r="C102" s="485"/>
      <c r="D102" s="484">
        <v>15000</v>
      </c>
      <c r="E102" s="484">
        <v>15000</v>
      </c>
      <c r="F102" s="470">
        <f t="shared" si="2"/>
        <v>15000</v>
      </c>
      <c r="G102" s="484"/>
      <c r="H102" s="791"/>
      <c r="I102" s="484"/>
      <c r="J102" s="484"/>
      <c r="K102" s="484"/>
      <c r="L102" s="484"/>
      <c r="M102" s="761"/>
    </row>
    <row r="103" spans="1:14" s="119" customFormat="1" ht="20.100000000000001" customHeight="1">
      <c r="A103" s="173"/>
      <c r="B103" s="170" t="s">
        <v>1284</v>
      </c>
      <c r="C103" s="485"/>
      <c r="D103" s="484"/>
      <c r="E103" s="484"/>
      <c r="F103" s="470"/>
      <c r="G103" s="484"/>
      <c r="H103" s="791"/>
      <c r="I103" s="484">
        <f>27*3000</f>
        <v>81000</v>
      </c>
      <c r="J103" s="484">
        <v>81000</v>
      </c>
      <c r="K103" s="484">
        <v>81000</v>
      </c>
      <c r="L103" s="484"/>
      <c r="M103" s="761"/>
    </row>
    <row r="104" spans="1:14" s="119" customFormat="1" ht="20.100000000000001" customHeight="1">
      <c r="A104" s="173"/>
      <c r="B104" s="170" t="s">
        <v>1285</v>
      </c>
      <c r="C104" s="485"/>
      <c r="D104" s="484"/>
      <c r="E104" s="484"/>
      <c r="F104" s="470"/>
      <c r="G104" s="484"/>
      <c r="H104" s="791"/>
      <c r="I104" s="484">
        <f>4000*2</f>
        <v>8000</v>
      </c>
      <c r="J104" s="484">
        <v>5000</v>
      </c>
      <c r="K104" s="484">
        <v>5000</v>
      </c>
      <c r="L104" s="484"/>
      <c r="M104" s="761" t="s">
        <v>1286</v>
      </c>
    </row>
    <row r="105" spans="1:14" s="119" customFormat="1" ht="20.100000000000001" customHeight="1">
      <c r="A105" s="176">
        <v>3</v>
      </c>
      <c r="B105" s="785" t="s">
        <v>210</v>
      </c>
      <c r="C105" s="471"/>
      <c r="D105" s="472">
        <f>(D106)</f>
        <v>10076403.272</v>
      </c>
      <c r="E105" s="472">
        <f>(E106)</f>
        <v>9759403.2719999999</v>
      </c>
      <c r="F105" s="466">
        <f t="shared" si="2"/>
        <v>9759403.2719999999</v>
      </c>
      <c r="G105" s="472"/>
      <c r="H105" s="775"/>
      <c r="I105" s="472">
        <f>(I106)</f>
        <v>11528445.952</v>
      </c>
      <c r="J105" s="472">
        <f>(J106)</f>
        <v>10582355.952</v>
      </c>
      <c r="K105" s="472">
        <f>(K106)</f>
        <v>10432355.952</v>
      </c>
      <c r="L105" s="472"/>
      <c r="M105" s="792"/>
    </row>
    <row r="106" spans="1:14" s="119" customFormat="1" ht="20.100000000000001" customHeight="1">
      <c r="A106" s="171"/>
      <c r="B106" s="169" t="s">
        <v>566</v>
      </c>
      <c r="C106" s="471"/>
      <c r="D106" s="472">
        <f>(D107+D115+D116)</f>
        <v>10076403.272</v>
      </c>
      <c r="E106" s="472">
        <f>(E107+E115+E116)</f>
        <v>9759403.2719999999</v>
      </c>
      <c r="F106" s="466">
        <f t="shared" si="2"/>
        <v>9759403.2719999999</v>
      </c>
      <c r="G106" s="472"/>
      <c r="H106" s="775"/>
      <c r="I106" s="472">
        <f>(I107+I115+I116)</f>
        <v>11528445.952</v>
      </c>
      <c r="J106" s="472">
        <f>(J107+J115+J116)</f>
        <v>10582355.952</v>
      </c>
      <c r="K106" s="472">
        <f>(K107+K115+K116)</f>
        <v>10432355.952</v>
      </c>
      <c r="L106" s="472"/>
      <c r="M106" s="626"/>
      <c r="N106" s="793">
        <f>5.463+5.75+5.68+5.48+6.948+4.675+5.088</f>
        <v>39.084000000000003</v>
      </c>
    </row>
    <row r="107" spans="1:14" s="119" customFormat="1" ht="20.100000000000001" customHeight="1">
      <c r="A107" s="171"/>
      <c r="B107" s="204" t="s">
        <v>377</v>
      </c>
      <c r="C107" s="471"/>
      <c r="D107" s="472">
        <f>SUM(D108:D114)</f>
        <v>5930214.5479999995</v>
      </c>
      <c r="E107" s="472">
        <f>SUM(E108:E114)</f>
        <v>5930214.5479999995</v>
      </c>
      <c r="F107" s="466">
        <f>E107</f>
        <v>5930214.5479999995</v>
      </c>
      <c r="G107" s="472"/>
      <c r="H107" s="794"/>
      <c r="I107" s="472">
        <f>SUM(I108:I114)</f>
        <v>6135861.2580000004</v>
      </c>
      <c r="J107" s="472">
        <f>SUM(J108:J114)</f>
        <v>6135861.2580000004</v>
      </c>
      <c r="K107" s="472">
        <f>SUM(K108:K114)</f>
        <v>6135861.2580000004</v>
      </c>
      <c r="L107" s="472"/>
      <c r="M107" s="626"/>
      <c r="N107" s="793">
        <f>313.385</f>
        <v>313.38499999999999</v>
      </c>
    </row>
    <row r="108" spans="1:14" s="756" customFormat="1" ht="20.100000000000001" customHeight="1">
      <c r="A108" s="171"/>
      <c r="B108" s="170" t="s">
        <v>1287</v>
      </c>
      <c r="C108" s="489">
        <f>217.11+1.544+9.9+0.542+5.8+6.004+0.6+1.2+0.5229</f>
        <v>243.22290000000001</v>
      </c>
      <c r="D108" s="488">
        <f>C108*1390*12</f>
        <v>4056957.9720000001</v>
      </c>
      <c r="E108" s="488">
        <f>D108</f>
        <v>4056957.9720000001</v>
      </c>
      <c r="F108" s="470">
        <f t="shared" si="2"/>
        <v>4056957.9720000001</v>
      </c>
      <c r="G108" s="488"/>
      <c r="H108" s="795">
        <f>199.13+0.922+9.1+0.814+5.1+6.35+0.6+10.1+0.4</f>
        <v>232.51599999999996</v>
      </c>
      <c r="I108" s="488">
        <f>H108*1490*12</f>
        <v>4157386.0799999996</v>
      </c>
      <c r="J108" s="488">
        <f t="shared" ref="J108:K114" si="3">I108</f>
        <v>4157386.0799999996</v>
      </c>
      <c r="K108" s="488">
        <f>J108</f>
        <v>4157386.0799999996</v>
      </c>
      <c r="L108" s="488"/>
      <c r="M108" s="627"/>
      <c r="N108" s="796">
        <f>N107-N106</f>
        <v>274.30099999999999</v>
      </c>
    </row>
    <row r="109" spans="1:14" s="756" customFormat="1" ht="20.100000000000001" customHeight="1">
      <c r="A109" s="171"/>
      <c r="B109" s="170" t="s">
        <v>1288</v>
      </c>
      <c r="C109" s="489"/>
      <c r="D109" s="488"/>
      <c r="E109" s="488"/>
      <c r="F109" s="470"/>
      <c r="G109" s="488"/>
      <c r="H109" s="795">
        <f>2.1+0.1</f>
        <v>2.2000000000000002</v>
      </c>
      <c r="I109" s="488">
        <f>H109*1490*12</f>
        <v>39336.000000000007</v>
      </c>
      <c r="J109" s="488">
        <f t="shared" si="3"/>
        <v>39336.000000000007</v>
      </c>
      <c r="K109" s="488">
        <f t="shared" si="3"/>
        <v>39336.000000000007</v>
      </c>
      <c r="L109" s="488"/>
      <c r="M109" s="627"/>
      <c r="N109" s="796"/>
    </row>
    <row r="110" spans="1:14" s="756" customFormat="1" ht="20.100000000000001" customHeight="1">
      <c r="A110" s="173"/>
      <c r="B110" s="170" t="s">
        <v>211</v>
      </c>
      <c r="C110" s="489">
        <v>56.58</v>
      </c>
      <c r="D110" s="488">
        <f>C110*1390*12</f>
        <v>943754.39999999991</v>
      </c>
      <c r="E110" s="488">
        <f>D110</f>
        <v>943754.39999999991</v>
      </c>
      <c r="F110" s="470">
        <f t="shared" si="2"/>
        <v>943754.39999999991</v>
      </c>
      <c r="G110" s="488"/>
      <c r="H110" s="795">
        <f>52.27+2.53</f>
        <v>54.800000000000004</v>
      </c>
      <c r="I110" s="488">
        <f>H110*1490*12</f>
        <v>979824</v>
      </c>
      <c r="J110" s="488">
        <f t="shared" si="3"/>
        <v>979824</v>
      </c>
      <c r="K110" s="488">
        <f t="shared" si="3"/>
        <v>979824</v>
      </c>
      <c r="L110" s="488"/>
      <c r="M110" s="628"/>
    </row>
    <row r="111" spans="1:14" ht="20.100000000000001" customHeight="1">
      <c r="A111" s="173"/>
      <c r="B111" s="170" t="s">
        <v>1289</v>
      </c>
      <c r="C111" s="489">
        <f>(217.11+1.544+9.9+0.542)*22.5%</f>
        <v>51.546600000000005</v>
      </c>
      <c r="D111" s="488">
        <f>C111*1390*12</f>
        <v>859797.28800000006</v>
      </c>
      <c r="E111" s="488">
        <f>D111</f>
        <v>859797.28800000006</v>
      </c>
      <c r="F111" s="470">
        <f t="shared" si="2"/>
        <v>859797.28800000006</v>
      </c>
      <c r="G111" s="488"/>
      <c r="H111" s="795">
        <f>(199.13+0.922+9.1+0.814+10.1+2.1)*22.5%</f>
        <v>49.987349999999992</v>
      </c>
      <c r="I111" s="488">
        <f>H111*1490*12</f>
        <v>893773.81799999997</v>
      </c>
      <c r="J111" s="488">
        <f t="shared" si="3"/>
        <v>893773.81799999997</v>
      </c>
      <c r="K111" s="488">
        <f t="shared" si="3"/>
        <v>893773.81799999997</v>
      </c>
      <c r="L111" s="488"/>
      <c r="M111" s="629"/>
    </row>
    <row r="112" spans="1:14" ht="20.100000000000001" customHeight="1">
      <c r="A112" s="173"/>
      <c r="B112" s="170" t="s">
        <v>182</v>
      </c>
      <c r="C112" s="489">
        <f>11.66*1%</f>
        <v>0.11660000000000001</v>
      </c>
      <c r="D112" s="488">
        <f>C112*1390*12</f>
        <v>1944.8880000000001</v>
      </c>
      <c r="E112" s="488">
        <f>D112</f>
        <v>1944.8880000000001</v>
      </c>
      <c r="F112" s="470">
        <f t="shared" si="2"/>
        <v>1944.8880000000001</v>
      </c>
      <c r="G112" s="488"/>
      <c r="H112" s="797">
        <f>(10.1+2.1)*1%</f>
        <v>0.122</v>
      </c>
      <c r="I112" s="488">
        <f>H112*1490*12</f>
        <v>2181.36</v>
      </c>
      <c r="J112" s="488">
        <f t="shared" si="3"/>
        <v>2181.36</v>
      </c>
      <c r="K112" s="488">
        <f t="shared" si="3"/>
        <v>2181.36</v>
      </c>
      <c r="L112" s="488"/>
      <c r="M112" s="622"/>
    </row>
    <row r="113" spans="1:14" ht="20.100000000000001" customHeight="1">
      <c r="A113" s="173"/>
      <c r="B113" s="170" t="s">
        <v>869</v>
      </c>
      <c r="C113" s="490"/>
      <c r="D113" s="488">
        <f>2640*12*2</f>
        <v>63360</v>
      </c>
      <c r="E113" s="488">
        <f>D113</f>
        <v>63360</v>
      </c>
      <c r="F113" s="470">
        <f t="shared" si="2"/>
        <v>63360</v>
      </c>
      <c r="G113" s="488"/>
      <c r="H113" s="798"/>
      <c r="I113" s="488">
        <f>2640*12*2</f>
        <v>63360</v>
      </c>
      <c r="J113" s="488">
        <f t="shared" si="3"/>
        <v>63360</v>
      </c>
      <c r="K113" s="488">
        <f t="shared" si="3"/>
        <v>63360</v>
      </c>
      <c r="L113" s="488"/>
      <c r="M113" s="622"/>
    </row>
    <row r="114" spans="1:14" ht="20.100000000000001" customHeight="1">
      <c r="A114" s="173"/>
      <c r="B114" s="170" t="s">
        <v>870</v>
      </c>
      <c r="C114" s="490"/>
      <c r="D114" s="488">
        <v>4400</v>
      </c>
      <c r="E114" s="488">
        <v>4400</v>
      </c>
      <c r="F114" s="470">
        <f t="shared" si="2"/>
        <v>4400</v>
      </c>
      <c r="G114" s="488"/>
      <c r="H114" s="798"/>
      <c r="I114" s="488"/>
      <c r="J114" s="488"/>
      <c r="K114" s="488">
        <f t="shared" si="3"/>
        <v>0</v>
      </c>
      <c r="L114" s="488"/>
      <c r="M114" s="622"/>
    </row>
    <row r="115" spans="1:14" ht="20.100000000000001" customHeight="1">
      <c r="A115" s="173"/>
      <c r="B115" s="169" t="s">
        <v>5</v>
      </c>
      <c r="C115" s="492"/>
      <c r="D115" s="491">
        <f>(C108+C111+C112)*1210*25/75*12</f>
        <v>1427248.7239999999</v>
      </c>
      <c r="E115" s="491">
        <f>D115</f>
        <v>1427248.7239999999</v>
      </c>
      <c r="F115" s="466">
        <f t="shared" si="2"/>
        <v>1427248.7239999999</v>
      </c>
      <c r="G115" s="491"/>
      <c r="H115" s="799"/>
      <c r="I115" s="491">
        <f>(H108+H109+H111+H112)*1210*25/75*12</f>
        <v>1378554.6939999997</v>
      </c>
      <c r="J115" s="491">
        <f>I115</f>
        <v>1378554.6939999997</v>
      </c>
      <c r="K115" s="491">
        <f>J115</f>
        <v>1378554.6939999997</v>
      </c>
      <c r="L115" s="491"/>
      <c r="M115" s="622"/>
    </row>
    <row r="116" spans="1:14" ht="20.100000000000001" customHeight="1">
      <c r="A116" s="173"/>
      <c r="B116" s="169" t="s">
        <v>380</v>
      </c>
      <c r="C116" s="471"/>
      <c r="D116" s="472">
        <f>SUM(D117:D150)</f>
        <v>2718940</v>
      </c>
      <c r="E116" s="472">
        <f>SUM(E117:E150)</f>
        <v>2401940</v>
      </c>
      <c r="F116" s="466">
        <f t="shared" si="2"/>
        <v>2401940</v>
      </c>
      <c r="G116" s="472"/>
      <c r="H116" s="775"/>
      <c r="I116" s="472">
        <f>SUM(I117:I162)</f>
        <v>4014030</v>
      </c>
      <c r="J116" s="472">
        <f>SUM(J117:J162)</f>
        <v>3067940</v>
      </c>
      <c r="K116" s="472">
        <f>SUM(K117:K162)</f>
        <v>2917940</v>
      </c>
      <c r="L116" s="472">
        <f>SUM(L117:L162)</f>
        <v>150000</v>
      </c>
      <c r="M116" s="630"/>
      <c r="N116" s="317">
        <f>SUM(N117:N143)</f>
        <v>0</v>
      </c>
    </row>
    <row r="117" spans="1:14" ht="20.100000000000001" customHeight="1">
      <c r="A117" s="173"/>
      <c r="B117" s="170" t="s">
        <v>1290</v>
      </c>
      <c r="C117" s="490"/>
      <c r="D117" s="488">
        <f>10000+7000+6000+5000+9000+32000+2000</f>
        <v>71000</v>
      </c>
      <c r="E117" s="488">
        <v>71000</v>
      </c>
      <c r="F117" s="470">
        <f t="shared" si="2"/>
        <v>71000</v>
      </c>
      <c r="G117" s="488"/>
      <c r="H117" s="798"/>
      <c r="I117" s="488">
        <f>10000+7000+6000+5000+2*4500+7*4000+4000+3000+2000</f>
        <v>74000</v>
      </c>
      <c r="J117" s="488">
        <v>98000</v>
      </c>
      <c r="K117" s="488">
        <v>98000</v>
      </c>
      <c r="L117" s="488"/>
      <c r="M117" s="624" t="s">
        <v>1291</v>
      </c>
    </row>
    <row r="118" spans="1:14" ht="20.100000000000001" customHeight="1">
      <c r="A118" s="173"/>
      <c r="B118" s="170" t="s">
        <v>872</v>
      </c>
      <c r="C118" s="490"/>
      <c r="D118" s="488">
        <v>7500</v>
      </c>
      <c r="E118" s="488">
        <v>7500</v>
      </c>
      <c r="F118" s="470">
        <f t="shared" si="2"/>
        <v>7500</v>
      </c>
      <c r="G118" s="488"/>
      <c r="H118" s="798"/>
      <c r="I118" s="488">
        <v>7500</v>
      </c>
      <c r="J118" s="488">
        <v>7500</v>
      </c>
      <c r="K118" s="488">
        <v>7500</v>
      </c>
      <c r="L118" s="488"/>
      <c r="M118" s="622"/>
    </row>
    <row r="119" spans="1:14" ht="20.100000000000001" customHeight="1">
      <c r="A119" s="173"/>
      <c r="B119" s="170" t="s">
        <v>1292</v>
      </c>
      <c r="C119" s="490"/>
      <c r="D119" s="488"/>
      <c r="E119" s="488"/>
      <c r="F119" s="470"/>
      <c r="G119" s="488"/>
      <c r="H119" s="798"/>
      <c r="I119" s="488">
        <v>2500</v>
      </c>
      <c r="J119" s="488"/>
      <c r="K119" s="488"/>
      <c r="L119" s="488"/>
      <c r="M119" s="622"/>
    </row>
    <row r="120" spans="1:14" ht="20.100000000000001" customHeight="1">
      <c r="A120" s="173"/>
      <c r="B120" s="170" t="s">
        <v>1293</v>
      </c>
      <c r="C120" s="490"/>
      <c r="D120" s="488">
        <f>14*300*5</f>
        <v>21000</v>
      </c>
      <c r="E120" s="488">
        <v>21000</v>
      </c>
      <c r="F120" s="470">
        <f t="shared" si="2"/>
        <v>21000</v>
      </c>
      <c r="G120" s="488"/>
      <c r="H120" s="798"/>
      <c r="I120" s="488">
        <v>22000</v>
      </c>
      <c r="J120" s="488">
        <f>13*500*5</f>
        <v>32500</v>
      </c>
      <c r="K120" s="488">
        <f>13*500*5</f>
        <v>32500</v>
      </c>
      <c r="L120" s="488"/>
      <c r="M120" s="622"/>
    </row>
    <row r="121" spans="1:14" ht="20.100000000000001" customHeight="1">
      <c r="A121" s="173"/>
      <c r="B121" s="170" t="s">
        <v>1294</v>
      </c>
      <c r="C121" s="490"/>
      <c r="D121" s="488">
        <f>14*2000</f>
        <v>28000</v>
      </c>
      <c r="E121" s="488">
        <v>28000</v>
      </c>
      <c r="F121" s="470">
        <f t="shared" si="2"/>
        <v>28000</v>
      </c>
      <c r="G121" s="488"/>
      <c r="H121" s="798"/>
      <c r="I121" s="488">
        <f>13*2000</f>
        <v>26000</v>
      </c>
      <c r="J121" s="488">
        <v>26000</v>
      </c>
      <c r="K121" s="488">
        <v>26000</v>
      </c>
      <c r="L121" s="488"/>
      <c r="M121" s="622"/>
    </row>
    <row r="122" spans="1:14" ht="20.100000000000001" customHeight="1">
      <c r="A122" s="173"/>
      <c r="B122" s="170" t="s">
        <v>337</v>
      </c>
      <c r="C122" s="490"/>
      <c r="D122" s="488">
        <f>3*2000*12</f>
        <v>72000</v>
      </c>
      <c r="E122" s="488">
        <v>72000</v>
      </c>
      <c r="F122" s="470">
        <f t="shared" si="2"/>
        <v>72000</v>
      </c>
      <c r="G122" s="488"/>
      <c r="H122" s="798"/>
      <c r="I122" s="488">
        <f>3*2*12000</f>
        <v>72000</v>
      </c>
      <c r="J122" s="488">
        <v>108000</v>
      </c>
      <c r="K122" s="488">
        <v>108000</v>
      </c>
      <c r="L122" s="488"/>
      <c r="M122" s="622"/>
    </row>
    <row r="123" spans="1:14" ht="20.100000000000001" customHeight="1">
      <c r="A123" s="173"/>
      <c r="B123" s="170" t="s">
        <v>745</v>
      </c>
      <c r="C123" s="490"/>
      <c r="D123" s="488">
        <v>12000</v>
      </c>
      <c r="E123" s="488">
        <v>12000</v>
      </c>
      <c r="F123" s="470">
        <f t="shared" si="2"/>
        <v>12000</v>
      </c>
      <c r="G123" s="488"/>
      <c r="H123" s="798"/>
      <c r="I123" s="488">
        <v>12000</v>
      </c>
      <c r="J123" s="488">
        <v>12000</v>
      </c>
      <c r="K123" s="488">
        <v>12000</v>
      </c>
      <c r="L123" s="488"/>
      <c r="M123" s="622"/>
    </row>
    <row r="124" spans="1:14" ht="20.100000000000001" customHeight="1">
      <c r="A124" s="173"/>
      <c r="B124" s="170" t="s">
        <v>1295</v>
      </c>
      <c r="C124" s="490"/>
      <c r="D124" s="488"/>
      <c r="E124" s="488"/>
      <c r="F124" s="470"/>
      <c r="G124" s="488"/>
      <c r="H124" s="798"/>
      <c r="I124" s="488">
        <v>12000</v>
      </c>
      <c r="J124" s="488">
        <v>12000</v>
      </c>
      <c r="K124" s="488">
        <v>12000</v>
      </c>
      <c r="L124" s="488"/>
      <c r="M124" s="622"/>
    </row>
    <row r="125" spans="1:14" ht="20.100000000000001" customHeight="1">
      <c r="A125" s="173"/>
      <c r="B125" s="170" t="s">
        <v>873</v>
      </c>
      <c r="C125" s="490"/>
      <c r="D125" s="488">
        <v>500000</v>
      </c>
      <c r="E125" s="488">
        <v>200000</v>
      </c>
      <c r="F125" s="470">
        <f t="shared" si="2"/>
        <v>200000</v>
      </c>
      <c r="G125" s="488"/>
      <c r="H125" s="798"/>
      <c r="I125" s="488">
        <v>300000</v>
      </c>
      <c r="J125" s="488">
        <v>300000</v>
      </c>
      <c r="K125" s="488">
        <v>300000</v>
      </c>
      <c r="L125" s="488"/>
      <c r="M125" s="622"/>
    </row>
    <row r="126" spans="1:14" ht="20.100000000000001" customHeight="1">
      <c r="A126" s="173"/>
      <c r="B126" s="170" t="s">
        <v>458</v>
      </c>
      <c r="C126" s="490"/>
      <c r="D126" s="488">
        <v>100000</v>
      </c>
      <c r="E126" s="488">
        <v>100000</v>
      </c>
      <c r="F126" s="470">
        <f t="shared" si="2"/>
        <v>100000</v>
      </c>
      <c r="G126" s="488"/>
      <c r="H126" s="798"/>
      <c r="I126" s="488">
        <v>150000</v>
      </c>
      <c r="J126" s="488">
        <v>100000</v>
      </c>
      <c r="K126" s="488">
        <v>100000</v>
      </c>
      <c r="L126" s="488"/>
      <c r="M126" s="622"/>
    </row>
    <row r="127" spans="1:14" ht="20.100000000000001" customHeight="1">
      <c r="A127" s="173"/>
      <c r="B127" s="170" t="s">
        <v>874</v>
      </c>
      <c r="C127" s="490"/>
      <c r="D127" s="488">
        <f>2*3000*12</f>
        <v>72000</v>
      </c>
      <c r="E127" s="488">
        <v>72000</v>
      </c>
      <c r="F127" s="470">
        <f t="shared" si="2"/>
        <v>72000</v>
      </c>
      <c r="G127" s="488"/>
      <c r="H127" s="798"/>
      <c r="I127" s="488">
        <v>72000</v>
      </c>
      <c r="J127" s="488">
        <v>72000</v>
      </c>
      <c r="K127" s="488">
        <v>72000</v>
      </c>
      <c r="L127" s="488"/>
      <c r="M127" s="622"/>
    </row>
    <row r="128" spans="1:14" ht="20.100000000000001" customHeight="1">
      <c r="A128" s="173"/>
      <c r="B128" s="170" t="s">
        <v>459</v>
      </c>
      <c r="C128" s="490"/>
      <c r="D128" s="488">
        <v>300000</v>
      </c>
      <c r="E128" s="488">
        <v>300000</v>
      </c>
      <c r="F128" s="470">
        <f t="shared" si="2"/>
        <v>300000</v>
      </c>
      <c r="G128" s="488"/>
      <c r="H128" s="798"/>
      <c r="I128" s="488">
        <v>300000</v>
      </c>
      <c r="J128" s="494">
        <v>300000</v>
      </c>
      <c r="K128" s="494">
        <v>250000</v>
      </c>
      <c r="L128" s="494">
        <v>50000</v>
      </c>
      <c r="M128" s="622"/>
    </row>
    <row r="129" spans="1:13" ht="20.100000000000001" customHeight="1">
      <c r="A129" s="173"/>
      <c r="B129" s="170" t="s">
        <v>875</v>
      </c>
      <c r="C129" s="490"/>
      <c r="D129" s="488">
        <v>70000</v>
      </c>
      <c r="E129" s="488">
        <v>70000</v>
      </c>
      <c r="F129" s="470">
        <f t="shared" si="2"/>
        <v>70000</v>
      </c>
      <c r="G129" s="488"/>
      <c r="H129" s="798"/>
      <c r="I129" s="488">
        <v>100000</v>
      </c>
      <c r="J129" s="488">
        <v>70000</v>
      </c>
      <c r="K129" s="488">
        <v>70000</v>
      </c>
      <c r="L129" s="488"/>
      <c r="M129" s="622"/>
    </row>
    <row r="130" spans="1:13" ht="20.100000000000001" customHeight="1">
      <c r="A130" s="173"/>
      <c r="B130" s="170" t="s">
        <v>725</v>
      </c>
      <c r="C130" s="490"/>
      <c r="D130" s="488">
        <v>200000</v>
      </c>
      <c r="E130" s="488">
        <v>200000</v>
      </c>
      <c r="F130" s="470">
        <f t="shared" si="2"/>
        <v>200000</v>
      </c>
      <c r="G130" s="488"/>
      <c r="H130" s="798"/>
      <c r="I130" s="488">
        <v>500000</v>
      </c>
      <c r="J130" s="494">
        <v>400000</v>
      </c>
      <c r="K130" s="494">
        <v>300000</v>
      </c>
      <c r="L130" s="494">
        <v>100000</v>
      </c>
      <c r="M130" s="622"/>
    </row>
    <row r="131" spans="1:13" ht="20.100000000000001" customHeight="1">
      <c r="A131" s="173"/>
      <c r="B131" s="170" t="s">
        <v>876</v>
      </c>
      <c r="C131" s="490"/>
      <c r="D131" s="488">
        <f>23800*12</f>
        <v>285600</v>
      </c>
      <c r="E131" s="488">
        <v>285600</v>
      </c>
      <c r="F131" s="470">
        <f t="shared" si="2"/>
        <v>285600</v>
      </c>
      <c r="G131" s="488"/>
      <c r="H131" s="798"/>
      <c r="I131" s="488">
        <v>285000</v>
      </c>
      <c r="J131" s="488">
        <v>285600</v>
      </c>
      <c r="K131" s="488">
        <v>285600</v>
      </c>
      <c r="L131" s="488"/>
      <c r="M131" s="622"/>
    </row>
    <row r="132" spans="1:13" ht="20.100000000000001" customHeight="1">
      <c r="A132" s="173"/>
      <c r="B132" s="170" t="s">
        <v>178</v>
      </c>
      <c r="C132" s="490"/>
      <c r="D132" s="488">
        <v>70000</v>
      </c>
      <c r="E132" s="488">
        <v>70000</v>
      </c>
      <c r="F132" s="470">
        <f t="shared" si="2"/>
        <v>70000</v>
      </c>
      <c r="G132" s="488"/>
      <c r="H132" s="798"/>
      <c r="I132" s="488">
        <v>70000</v>
      </c>
      <c r="J132" s="488">
        <v>70000</v>
      </c>
      <c r="K132" s="488">
        <v>70000</v>
      </c>
      <c r="L132" s="488"/>
      <c r="M132" s="622"/>
    </row>
    <row r="133" spans="1:13" ht="20.100000000000001" customHeight="1">
      <c r="A133" s="173"/>
      <c r="B133" s="170" t="s">
        <v>1296</v>
      </c>
      <c r="C133" s="490"/>
      <c r="D133" s="488"/>
      <c r="E133" s="488"/>
      <c r="F133" s="470"/>
      <c r="G133" s="488"/>
      <c r="H133" s="798"/>
      <c r="I133" s="488">
        <v>50000</v>
      </c>
      <c r="J133" s="488">
        <v>50000</v>
      </c>
      <c r="K133" s="488">
        <v>50000</v>
      </c>
      <c r="L133" s="488"/>
      <c r="M133" s="622"/>
    </row>
    <row r="134" spans="1:13" ht="20.100000000000001" customHeight="1">
      <c r="A134" s="173"/>
      <c r="B134" s="170" t="s">
        <v>157</v>
      </c>
      <c r="C134" s="490"/>
      <c r="D134" s="800">
        <v>100000</v>
      </c>
      <c r="E134" s="800">
        <v>100000</v>
      </c>
      <c r="F134" s="801">
        <f t="shared" si="2"/>
        <v>100000</v>
      </c>
      <c r="G134" s="800"/>
      <c r="H134" s="802"/>
      <c r="I134" s="800">
        <v>100000</v>
      </c>
      <c r="J134" s="488">
        <v>100000</v>
      </c>
      <c r="K134" s="488">
        <v>100000</v>
      </c>
      <c r="L134" s="488"/>
      <c r="M134" s="803"/>
    </row>
    <row r="135" spans="1:13" ht="20.100000000000001" customHeight="1">
      <c r="A135" s="173"/>
      <c r="B135" s="170" t="s">
        <v>1297</v>
      </c>
      <c r="C135" s="490"/>
      <c r="D135" s="488">
        <v>300000</v>
      </c>
      <c r="E135" s="488">
        <v>300000</v>
      </c>
      <c r="F135" s="470">
        <f t="shared" si="2"/>
        <v>300000</v>
      </c>
      <c r="G135" s="488"/>
      <c r="H135" s="798"/>
      <c r="I135" s="488">
        <v>480000</v>
      </c>
      <c r="J135" s="494">
        <f>380000+50000</f>
        <v>430000</v>
      </c>
      <c r="K135" s="494">
        <f>380000+50000</f>
        <v>430000</v>
      </c>
      <c r="L135" s="494"/>
      <c r="M135" s="622"/>
    </row>
    <row r="136" spans="1:13" ht="20.100000000000001" customHeight="1">
      <c r="A136" s="173"/>
      <c r="B136" s="170" t="s">
        <v>426</v>
      </c>
      <c r="C136" s="490"/>
      <c r="D136" s="488">
        <v>80000</v>
      </c>
      <c r="E136" s="488">
        <v>80000</v>
      </c>
      <c r="F136" s="470">
        <f t="shared" si="2"/>
        <v>80000</v>
      </c>
      <c r="G136" s="488"/>
      <c r="H136" s="798"/>
      <c r="I136" s="488">
        <v>80000</v>
      </c>
      <c r="J136" s="488">
        <v>80000</v>
      </c>
      <c r="K136" s="488">
        <v>80000</v>
      </c>
      <c r="L136" s="488"/>
      <c r="M136" s="622"/>
    </row>
    <row r="137" spans="1:13" ht="20.100000000000001" customHeight="1">
      <c r="A137" s="173"/>
      <c r="B137" s="170" t="s">
        <v>427</v>
      </c>
      <c r="C137" s="490"/>
      <c r="D137" s="488">
        <v>50000</v>
      </c>
      <c r="E137" s="488">
        <v>45000</v>
      </c>
      <c r="F137" s="470">
        <f t="shared" si="2"/>
        <v>45000</v>
      </c>
      <c r="G137" s="488"/>
      <c r="H137" s="798"/>
      <c r="I137" s="488">
        <v>50000</v>
      </c>
      <c r="J137" s="488">
        <v>50000</v>
      </c>
      <c r="K137" s="488">
        <v>50000</v>
      </c>
      <c r="L137" s="488"/>
      <c r="M137" s="622" t="s">
        <v>878</v>
      </c>
    </row>
    <row r="138" spans="1:13" ht="20.100000000000001" customHeight="1">
      <c r="A138" s="173"/>
      <c r="B138" s="170" t="s">
        <v>879</v>
      </c>
      <c r="C138" s="490"/>
      <c r="D138" s="488">
        <v>25000</v>
      </c>
      <c r="E138" s="488">
        <v>25000</v>
      </c>
      <c r="F138" s="470">
        <f t="shared" si="2"/>
        <v>25000</v>
      </c>
      <c r="G138" s="488"/>
      <c r="H138" s="798"/>
      <c r="I138" s="488"/>
      <c r="J138" s="488"/>
      <c r="K138" s="488"/>
      <c r="L138" s="488"/>
      <c r="M138" s="632" t="s">
        <v>1298</v>
      </c>
    </row>
    <row r="139" spans="1:13" ht="20.100000000000001" customHeight="1">
      <c r="A139" s="173"/>
      <c r="B139" s="170" t="s">
        <v>400</v>
      </c>
      <c r="C139" s="490"/>
      <c r="D139" s="488">
        <v>38000</v>
      </c>
      <c r="E139" s="488">
        <v>35000</v>
      </c>
      <c r="F139" s="470">
        <f t="shared" si="2"/>
        <v>35000</v>
      </c>
      <c r="G139" s="488"/>
      <c r="H139" s="798"/>
      <c r="I139" s="488">
        <v>35000</v>
      </c>
      <c r="J139" s="488">
        <v>35000</v>
      </c>
      <c r="K139" s="488">
        <v>35000</v>
      </c>
      <c r="L139" s="488"/>
      <c r="M139" s="622"/>
    </row>
    <row r="140" spans="1:13" ht="20.100000000000001" customHeight="1">
      <c r="A140" s="173"/>
      <c r="B140" s="170" t="s">
        <v>636</v>
      </c>
      <c r="C140" s="490"/>
      <c r="D140" s="488">
        <v>15000</v>
      </c>
      <c r="E140" s="488">
        <v>10000</v>
      </c>
      <c r="F140" s="470">
        <f t="shared" si="2"/>
        <v>10000</v>
      </c>
      <c r="G140" s="488"/>
      <c r="H140" s="798"/>
      <c r="I140" s="488">
        <v>15000</v>
      </c>
      <c r="J140" s="488">
        <v>10000</v>
      </c>
      <c r="K140" s="488">
        <v>10000</v>
      </c>
      <c r="L140" s="488"/>
      <c r="M140" s="622"/>
    </row>
    <row r="141" spans="1:13" ht="20.100000000000001" customHeight="1">
      <c r="A141" s="173"/>
      <c r="B141" s="177" t="s">
        <v>52</v>
      </c>
      <c r="C141" s="490"/>
      <c r="D141" s="488">
        <v>15000</v>
      </c>
      <c r="E141" s="488">
        <v>15000</v>
      </c>
      <c r="F141" s="470">
        <f t="shared" si="2"/>
        <v>15000</v>
      </c>
      <c r="G141" s="488"/>
      <c r="H141" s="798"/>
      <c r="I141" s="488">
        <v>23000</v>
      </c>
      <c r="J141" s="488">
        <v>23000</v>
      </c>
      <c r="K141" s="488">
        <v>23000</v>
      </c>
      <c r="L141" s="488"/>
      <c r="M141" s="622"/>
    </row>
    <row r="142" spans="1:13" ht="20.100000000000001" customHeight="1">
      <c r="A142" s="173"/>
      <c r="B142" s="177" t="s">
        <v>758</v>
      </c>
      <c r="C142" s="490"/>
      <c r="D142" s="488">
        <v>65000</v>
      </c>
      <c r="E142" s="488">
        <v>65000</v>
      </c>
      <c r="F142" s="470">
        <f t="shared" si="2"/>
        <v>65000</v>
      </c>
      <c r="G142" s="488"/>
      <c r="H142" s="798"/>
      <c r="I142" s="488">
        <v>65000</v>
      </c>
      <c r="J142" s="488">
        <v>65000</v>
      </c>
      <c r="K142" s="488">
        <v>65000</v>
      </c>
      <c r="L142" s="488"/>
      <c r="M142" s="622"/>
    </row>
    <row r="143" spans="1:13" ht="20.100000000000001" customHeight="1">
      <c r="A143" s="173"/>
      <c r="B143" s="177" t="s">
        <v>1299</v>
      </c>
      <c r="C143" s="490"/>
      <c r="D143" s="488">
        <v>5000</v>
      </c>
      <c r="E143" s="488">
        <v>5000</v>
      </c>
      <c r="F143" s="470">
        <f t="shared" si="2"/>
        <v>5000</v>
      </c>
      <c r="G143" s="488"/>
      <c r="H143" s="798"/>
      <c r="I143" s="488"/>
      <c r="J143" s="488"/>
      <c r="K143" s="488"/>
      <c r="L143" s="488"/>
      <c r="M143" s="622"/>
    </row>
    <row r="144" spans="1:13" ht="20.100000000000001" customHeight="1">
      <c r="A144" s="173"/>
      <c r="B144" s="170" t="s">
        <v>369</v>
      </c>
      <c r="C144" s="490"/>
      <c r="D144" s="488">
        <v>15840</v>
      </c>
      <c r="E144" s="488">
        <v>15840</v>
      </c>
      <c r="F144" s="470">
        <f t="shared" si="2"/>
        <v>15840</v>
      </c>
      <c r="G144" s="488"/>
      <c r="H144" s="798"/>
      <c r="I144" s="488">
        <v>15840</v>
      </c>
      <c r="J144" s="488">
        <v>15840</v>
      </c>
      <c r="K144" s="488">
        <v>15840</v>
      </c>
      <c r="L144" s="488"/>
      <c r="M144" s="622"/>
    </row>
    <row r="145" spans="1:13" ht="20.100000000000001" customHeight="1">
      <c r="A145" s="173"/>
      <c r="B145" s="170" t="s">
        <v>240</v>
      </c>
      <c r="C145" s="490"/>
      <c r="D145" s="488">
        <v>20000</v>
      </c>
      <c r="E145" s="488">
        <v>16000</v>
      </c>
      <c r="F145" s="470">
        <f t="shared" si="2"/>
        <v>16000</v>
      </c>
      <c r="G145" s="488"/>
      <c r="H145" s="798"/>
      <c r="I145" s="488">
        <v>18000</v>
      </c>
      <c r="J145" s="488">
        <v>18000</v>
      </c>
      <c r="K145" s="488">
        <v>18000</v>
      </c>
      <c r="L145" s="488"/>
      <c r="M145" s="622"/>
    </row>
    <row r="146" spans="1:13" ht="20.100000000000001" customHeight="1">
      <c r="A146" s="173"/>
      <c r="B146" s="170" t="s">
        <v>880</v>
      </c>
      <c r="C146" s="490"/>
      <c r="D146" s="488">
        <v>50000</v>
      </c>
      <c r="E146" s="488">
        <v>50000</v>
      </c>
      <c r="F146" s="470">
        <f t="shared" si="2"/>
        <v>50000</v>
      </c>
      <c r="G146" s="488"/>
      <c r="H146" s="798"/>
      <c r="I146" s="488"/>
      <c r="J146" s="488"/>
      <c r="K146" s="488"/>
      <c r="L146" s="488"/>
      <c r="M146" s="761"/>
    </row>
    <row r="147" spans="1:13" ht="20.100000000000001" customHeight="1">
      <c r="A147" s="173"/>
      <c r="B147" s="170" t="s">
        <v>882</v>
      </c>
      <c r="C147" s="490"/>
      <c r="D147" s="488">
        <v>75000</v>
      </c>
      <c r="E147" s="488">
        <v>75000</v>
      </c>
      <c r="F147" s="470">
        <f t="shared" si="2"/>
        <v>75000</v>
      </c>
      <c r="G147" s="488"/>
      <c r="H147" s="798"/>
      <c r="I147" s="488"/>
      <c r="J147" s="488"/>
      <c r="K147" s="488"/>
      <c r="L147" s="488"/>
      <c r="M147" s="622"/>
    </row>
    <row r="148" spans="1:13" ht="20.100000000000001" customHeight="1">
      <c r="A148" s="173"/>
      <c r="B148" s="170" t="s">
        <v>883</v>
      </c>
      <c r="C148" s="490"/>
      <c r="D148" s="488">
        <v>21000</v>
      </c>
      <c r="E148" s="488">
        <v>21000</v>
      </c>
      <c r="F148" s="470">
        <f t="shared" ref="F148:F220" si="4">E148</f>
        <v>21000</v>
      </c>
      <c r="G148" s="488"/>
      <c r="H148" s="798"/>
      <c r="I148" s="488"/>
      <c r="J148" s="488"/>
      <c r="K148" s="488"/>
      <c r="L148" s="488"/>
      <c r="M148" s="622"/>
    </row>
    <row r="149" spans="1:13" ht="20.100000000000001" customHeight="1">
      <c r="A149" s="173"/>
      <c r="B149" s="170" t="s">
        <v>884</v>
      </c>
      <c r="C149" s="490"/>
      <c r="D149" s="488">
        <v>15000</v>
      </c>
      <c r="E149" s="488">
        <v>15000</v>
      </c>
      <c r="F149" s="470">
        <f t="shared" si="4"/>
        <v>15000</v>
      </c>
      <c r="G149" s="488"/>
      <c r="H149" s="798"/>
      <c r="I149" s="488"/>
      <c r="J149" s="488"/>
      <c r="K149" s="488"/>
      <c r="L149" s="488"/>
      <c r="M149" s="622"/>
    </row>
    <row r="150" spans="1:13" ht="20.100000000000001" customHeight="1">
      <c r="A150" s="173"/>
      <c r="B150" s="170" t="s">
        <v>885</v>
      </c>
      <c r="C150" s="490"/>
      <c r="D150" s="488">
        <v>20000</v>
      </c>
      <c r="E150" s="488">
        <v>20000</v>
      </c>
      <c r="F150" s="470">
        <f t="shared" si="4"/>
        <v>20000</v>
      </c>
      <c r="G150" s="488"/>
      <c r="H150" s="798"/>
      <c r="I150" s="488">
        <v>20000</v>
      </c>
      <c r="J150" s="488">
        <v>20000</v>
      </c>
      <c r="K150" s="488">
        <v>20000</v>
      </c>
      <c r="L150" s="488"/>
      <c r="M150" s="622"/>
    </row>
    <row r="151" spans="1:13" ht="20.100000000000001" customHeight="1">
      <c r="A151" s="173"/>
      <c r="B151" s="170" t="s">
        <v>1300</v>
      </c>
      <c r="C151" s="490"/>
      <c r="D151" s="488"/>
      <c r="E151" s="488"/>
      <c r="F151" s="470"/>
      <c r="G151" s="488"/>
      <c r="H151" s="798"/>
      <c r="I151" s="488">
        <v>52500</v>
      </c>
      <c r="J151" s="488">
        <v>52500</v>
      </c>
      <c r="K151" s="488">
        <v>52500</v>
      </c>
      <c r="L151" s="488"/>
      <c r="M151" s="634" t="s">
        <v>1301</v>
      </c>
    </row>
    <row r="152" spans="1:13" ht="20.100000000000001" customHeight="1">
      <c r="A152" s="173"/>
      <c r="B152" s="170" t="s">
        <v>1302</v>
      </c>
      <c r="C152" s="490"/>
      <c r="D152" s="488"/>
      <c r="E152" s="488"/>
      <c r="F152" s="470"/>
      <c r="G152" s="488"/>
      <c r="H152" s="798"/>
      <c r="I152" s="488">
        <v>20000</v>
      </c>
      <c r="J152" s="488"/>
      <c r="K152" s="488"/>
      <c r="L152" s="488"/>
      <c r="M152" s="622"/>
    </row>
    <row r="153" spans="1:13" ht="20.100000000000001" customHeight="1">
      <c r="A153" s="173"/>
      <c r="B153" s="170" t="s">
        <v>1303</v>
      </c>
      <c r="C153" s="490"/>
      <c r="D153" s="488"/>
      <c r="E153" s="488"/>
      <c r="F153" s="470"/>
      <c r="G153" s="488"/>
      <c r="H153" s="798"/>
      <c r="I153" s="488">
        <v>30000</v>
      </c>
      <c r="J153" s="488">
        <v>30000</v>
      </c>
      <c r="K153" s="488">
        <v>30000</v>
      </c>
      <c r="L153" s="488"/>
      <c r="M153" s="622"/>
    </row>
    <row r="154" spans="1:13" ht="20.100000000000001" customHeight="1">
      <c r="A154" s="173"/>
      <c r="B154" s="170" t="s">
        <v>1304</v>
      </c>
      <c r="C154" s="490"/>
      <c r="D154" s="488"/>
      <c r="E154" s="488"/>
      <c r="F154" s="470"/>
      <c r="G154" s="488"/>
      <c r="H154" s="798"/>
      <c r="I154" s="488">
        <v>1500</v>
      </c>
      <c r="J154" s="488"/>
      <c r="K154" s="488"/>
      <c r="L154" s="757"/>
      <c r="M154" s="1182" t="s">
        <v>1305</v>
      </c>
    </row>
    <row r="155" spans="1:13" ht="20.100000000000001" customHeight="1">
      <c r="A155" s="173"/>
      <c r="B155" s="170" t="s">
        <v>1306</v>
      </c>
      <c r="C155" s="490"/>
      <c r="D155" s="488"/>
      <c r="E155" s="488"/>
      <c r="F155" s="470"/>
      <c r="G155" s="488"/>
      <c r="H155" s="798"/>
      <c r="I155" s="488">
        <v>3190</v>
      </c>
      <c r="J155" s="488"/>
      <c r="K155" s="488"/>
      <c r="L155" s="758"/>
      <c r="M155" s="1183"/>
    </row>
    <row r="156" spans="1:13" ht="20.100000000000001" customHeight="1">
      <c r="A156" s="173"/>
      <c r="B156" s="170" t="s">
        <v>1307</v>
      </c>
      <c r="C156" s="490"/>
      <c r="D156" s="488"/>
      <c r="E156" s="488"/>
      <c r="F156" s="470"/>
      <c r="G156" s="488"/>
      <c r="H156" s="798"/>
      <c r="I156" s="488">
        <v>90000</v>
      </c>
      <c r="J156" s="488">
        <v>90000</v>
      </c>
      <c r="K156" s="488">
        <v>90000</v>
      </c>
      <c r="L156" s="488"/>
      <c r="M156" s="622"/>
    </row>
    <row r="157" spans="1:13" ht="20.100000000000001" customHeight="1">
      <c r="A157" s="173"/>
      <c r="B157" s="170" t="s">
        <v>1308</v>
      </c>
      <c r="C157" s="490"/>
      <c r="D157" s="488"/>
      <c r="E157" s="488"/>
      <c r="F157" s="470"/>
      <c r="G157" s="488"/>
      <c r="H157" s="798"/>
      <c r="I157" s="488">
        <v>20000</v>
      </c>
      <c r="J157" s="488">
        <v>5000</v>
      </c>
      <c r="K157" s="488">
        <v>5000</v>
      </c>
      <c r="L157" s="488"/>
      <c r="M157" s="622"/>
    </row>
    <row r="158" spans="1:13" ht="20.100000000000001" customHeight="1">
      <c r="A158" s="173"/>
      <c r="B158" s="170" t="s">
        <v>1309</v>
      </c>
      <c r="C158" s="490"/>
      <c r="D158" s="488"/>
      <c r="E158" s="488"/>
      <c r="F158" s="470"/>
      <c r="G158" s="488"/>
      <c r="H158" s="798"/>
      <c r="I158" s="488">
        <v>500000</v>
      </c>
      <c r="J158" s="488"/>
      <c r="K158" s="488"/>
      <c r="L158" s="488"/>
      <c r="M158" s="622" t="s">
        <v>1310</v>
      </c>
    </row>
    <row r="159" spans="1:13" ht="20.100000000000001" customHeight="1">
      <c r="A159" s="173"/>
      <c r="B159" s="170" t="s">
        <v>1311</v>
      </c>
      <c r="C159" s="490"/>
      <c r="D159" s="488"/>
      <c r="E159" s="488"/>
      <c r="F159" s="470"/>
      <c r="G159" s="488"/>
      <c r="H159" s="798"/>
      <c r="I159" s="488">
        <v>80000</v>
      </c>
      <c r="J159" s="488"/>
      <c r="K159" s="488"/>
      <c r="L159" s="488"/>
      <c r="M159" s="622" t="s">
        <v>1312</v>
      </c>
    </row>
    <row r="160" spans="1:13" ht="20.100000000000001" customHeight="1">
      <c r="A160" s="173"/>
      <c r="B160" s="170" t="s">
        <v>1313</v>
      </c>
      <c r="C160" s="490"/>
      <c r="D160" s="488"/>
      <c r="E160" s="488"/>
      <c r="F160" s="470"/>
      <c r="G160" s="488"/>
      <c r="H160" s="798"/>
      <c r="I160" s="488">
        <v>30000</v>
      </c>
      <c r="J160" s="488"/>
      <c r="K160" s="488"/>
      <c r="L160" s="488"/>
      <c r="M160" s="622"/>
    </row>
    <row r="161" spans="1:13" ht="20.100000000000001" customHeight="1">
      <c r="A161" s="173"/>
      <c r="B161" s="170" t="s">
        <v>1314</v>
      </c>
      <c r="C161" s="490"/>
      <c r="D161" s="488"/>
      <c r="E161" s="488"/>
      <c r="F161" s="470"/>
      <c r="G161" s="488"/>
      <c r="H161" s="798"/>
      <c r="I161" s="488">
        <v>200000</v>
      </c>
      <c r="J161" s="494">
        <v>100000</v>
      </c>
      <c r="K161" s="494">
        <v>100000</v>
      </c>
      <c r="L161" s="494"/>
      <c r="M161" s="622"/>
    </row>
    <row r="162" spans="1:13" ht="20.100000000000001" customHeight="1">
      <c r="A162" s="173"/>
      <c r="B162" s="170" t="s">
        <v>1315</v>
      </c>
      <c r="C162" s="490"/>
      <c r="D162" s="488"/>
      <c r="E162" s="488"/>
      <c r="F162" s="470"/>
      <c r="G162" s="488"/>
      <c r="H162" s="798"/>
      <c r="I162" s="488">
        <v>30000</v>
      </c>
      <c r="J162" s="488"/>
      <c r="K162" s="488"/>
      <c r="L162" s="488"/>
      <c r="M162" s="622"/>
    </row>
    <row r="163" spans="1:13" ht="20.100000000000001" customHeight="1">
      <c r="A163" s="176">
        <v>4</v>
      </c>
      <c r="B163" s="785" t="s">
        <v>788</v>
      </c>
      <c r="C163" s="786"/>
      <c r="D163" s="787">
        <f>D164+D168+D169</f>
        <v>1974611.82</v>
      </c>
      <c r="E163" s="787">
        <f>E164+E168+E169</f>
        <v>1814611.82</v>
      </c>
      <c r="F163" s="466">
        <f t="shared" si="4"/>
        <v>1814611.82</v>
      </c>
      <c r="G163" s="787"/>
      <c r="H163" s="789"/>
      <c r="I163" s="787">
        <f>I164+I168+I169</f>
        <v>1676581.3199999998</v>
      </c>
      <c r="J163" s="787">
        <f>J164+J168+J169</f>
        <v>1626181.3199999998</v>
      </c>
      <c r="K163" s="787">
        <f>K164+K168+K169</f>
        <v>1626181.3199999998</v>
      </c>
      <c r="L163" s="787"/>
      <c r="M163" s="803"/>
    </row>
    <row r="164" spans="1:13" ht="20.100000000000001" customHeight="1">
      <c r="A164" s="171"/>
      <c r="B164" s="169" t="s">
        <v>377</v>
      </c>
      <c r="C164" s="496"/>
      <c r="D164" s="472">
        <f>(D165+D166+D167)</f>
        <v>851509.83000000007</v>
      </c>
      <c r="E164" s="472">
        <f>(E165+E166+E167)</f>
        <v>851509.83000000007</v>
      </c>
      <c r="F164" s="466">
        <f t="shared" si="4"/>
        <v>851509.83000000007</v>
      </c>
      <c r="G164" s="472"/>
      <c r="H164" s="775"/>
      <c r="I164" s="472">
        <f>(I165+I166+I167)</f>
        <v>767092.23</v>
      </c>
      <c r="J164" s="472">
        <f>(J165+J166+J167)</f>
        <v>767092.23</v>
      </c>
      <c r="K164" s="472">
        <f>(K165+K166+K167)</f>
        <v>767092.23</v>
      </c>
      <c r="L164" s="472"/>
      <c r="M164" s="622"/>
    </row>
    <row r="165" spans="1:13" ht="20.100000000000001" customHeight="1">
      <c r="A165" s="173"/>
      <c r="B165" s="170" t="s">
        <v>569</v>
      </c>
      <c r="C165" s="489">
        <f>26.51+1.25+0.55+0.6+0.2</f>
        <v>29.110000000000003</v>
      </c>
      <c r="D165" s="488">
        <f>C165*1390*12</f>
        <v>485554.80000000005</v>
      </c>
      <c r="E165" s="488">
        <f>D165</f>
        <v>485554.80000000005</v>
      </c>
      <c r="F165" s="470">
        <f t="shared" si="4"/>
        <v>485554.80000000005</v>
      </c>
      <c r="G165" s="488"/>
      <c r="H165" s="795">
        <f>22.37+1.1+0.5+0.2+0.249</f>
        <v>24.419</v>
      </c>
      <c r="I165" s="488">
        <f>H165*1490*12</f>
        <v>436611.72</v>
      </c>
      <c r="J165" s="488">
        <f t="shared" ref="J165:K168" si="5">I165</f>
        <v>436611.72</v>
      </c>
      <c r="K165" s="488">
        <f t="shared" si="5"/>
        <v>436611.72</v>
      </c>
      <c r="L165" s="488"/>
      <c r="M165" s="622"/>
    </row>
    <row r="166" spans="1:13" ht="20.100000000000001" customHeight="1">
      <c r="A166" s="171"/>
      <c r="B166" s="170" t="s">
        <v>791</v>
      </c>
      <c r="C166" s="489">
        <f>8.49+7.08</f>
        <v>15.57</v>
      </c>
      <c r="D166" s="488">
        <f>C166*1390*12</f>
        <v>259707.59999999998</v>
      </c>
      <c r="E166" s="488">
        <f>D166</f>
        <v>259707.59999999998</v>
      </c>
      <c r="F166" s="470">
        <f t="shared" si="4"/>
        <v>259707.59999999998</v>
      </c>
      <c r="G166" s="488"/>
      <c r="H166" s="795">
        <v>13.045</v>
      </c>
      <c r="I166" s="488">
        <f>H166*1490*12</f>
        <v>233244.59999999998</v>
      </c>
      <c r="J166" s="488">
        <f t="shared" si="5"/>
        <v>233244.59999999998</v>
      </c>
      <c r="K166" s="488">
        <f t="shared" si="5"/>
        <v>233244.59999999998</v>
      </c>
      <c r="L166" s="488"/>
      <c r="M166" s="622"/>
    </row>
    <row r="167" spans="1:13" ht="20.100000000000001" customHeight="1">
      <c r="A167" s="171"/>
      <c r="B167" s="170" t="s">
        <v>733</v>
      </c>
      <c r="C167" s="489">
        <f>(26.51+1.25+0.55)*22.5%</f>
        <v>6.3697500000000007</v>
      </c>
      <c r="D167" s="488">
        <f>C167*1390*12</f>
        <v>106247.43000000002</v>
      </c>
      <c r="E167" s="488">
        <f>D167</f>
        <v>106247.43000000002</v>
      </c>
      <c r="F167" s="470">
        <f t="shared" si="4"/>
        <v>106247.43000000002</v>
      </c>
      <c r="G167" s="488"/>
      <c r="H167" s="795">
        <f>(22.37+1.1+0.5+0.2)*22.5%</f>
        <v>5.4382500000000009</v>
      </c>
      <c r="I167" s="488">
        <f>H167*1490*12</f>
        <v>97235.910000000018</v>
      </c>
      <c r="J167" s="488">
        <f t="shared" si="5"/>
        <v>97235.910000000018</v>
      </c>
      <c r="K167" s="488">
        <f t="shared" si="5"/>
        <v>97235.910000000018</v>
      </c>
      <c r="L167" s="488"/>
      <c r="M167" s="622"/>
    </row>
    <row r="168" spans="1:13" ht="20.100000000000001" customHeight="1">
      <c r="A168" s="171"/>
      <c r="B168" s="169" t="s">
        <v>5</v>
      </c>
      <c r="C168" s="497"/>
      <c r="D168" s="491">
        <f>(C165+C167)*1210*12*25/75</f>
        <v>171721.99000000002</v>
      </c>
      <c r="E168" s="491">
        <f>D168</f>
        <v>171721.99000000002</v>
      </c>
      <c r="F168" s="466">
        <f t="shared" si="4"/>
        <v>171721.99000000002</v>
      </c>
      <c r="G168" s="491"/>
      <c r="H168" s="799"/>
      <c r="I168" s="491">
        <f>(H165+H167)*1210*12*25/75</f>
        <v>144509.09</v>
      </c>
      <c r="J168" s="491">
        <f t="shared" si="5"/>
        <v>144509.09</v>
      </c>
      <c r="K168" s="491">
        <f t="shared" si="5"/>
        <v>144509.09</v>
      </c>
      <c r="L168" s="491"/>
      <c r="M168" s="622"/>
    </row>
    <row r="169" spans="1:13" ht="20.100000000000001" customHeight="1">
      <c r="A169" s="159"/>
      <c r="B169" s="169" t="s">
        <v>380</v>
      </c>
      <c r="C169" s="471">
        <f>SUM(C170:C199)</f>
        <v>0</v>
      </c>
      <c r="D169" s="472">
        <f>SUM(D170:D200)</f>
        <v>951380</v>
      </c>
      <c r="E169" s="472">
        <f>SUM(E170:E200)</f>
        <v>791380</v>
      </c>
      <c r="F169" s="466">
        <f t="shared" si="4"/>
        <v>791380</v>
      </c>
      <c r="G169" s="472"/>
      <c r="H169" s="775"/>
      <c r="I169" s="472">
        <f>SUM(I170:I203)</f>
        <v>764980</v>
      </c>
      <c r="J169" s="472">
        <f>SUM(J170:J203)</f>
        <v>714580</v>
      </c>
      <c r="K169" s="472">
        <f>SUM(K170:K203)</f>
        <v>714580</v>
      </c>
      <c r="L169" s="472"/>
      <c r="M169" s="622"/>
    </row>
    <row r="170" spans="1:13" ht="20.100000000000001" customHeight="1">
      <c r="A170" s="173"/>
      <c r="B170" s="170" t="s">
        <v>1316</v>
      </c>
      <c r="C170" s="490"/>
      <c r="D170" s="488">
        <v>28000</v>
      </c>
      <c r="E170" s="488">
        <v>28000</v>
      </c>
      <c r="F170" s="470">
        <f t="shared" si="4"/>
        <v>28000</v>
      </c>
      <c r="G170" s="488"/>
      <c r="H170" s="798"/>
      <c r="I170" s="488">
        <f>8000+2*5500+2*5000</f>
        <v>29000</v>
      </c>
      <c r="J170" s="488">
        <f>7000+2*4500+2*4000</f>
        <v>24000</v>
      </c>
      <c r="K170" s="488">
        <f>7000+2*4500+2*4000</f>
        <v>24000</v>
      </c>
      <c r="L170" s="488"/>
      <c r="M170" s="622"/>
    </row>
    <row r="171" spans="1:13" ht="20.100000000000001" customHeight="1">
      <c r="A171" s="173"/>
      <c r="B171" s="170" t="s">
        <v>886</v>
      </c>
      <c r="C171" s="490"/>
      <c r="D171" s="488">
        <v>3000</v>
      </c>
      <c r="E171" s="488">
        <v>3000</v>
      </c>
      <c r="F171" s="470">
        <f t="shared" si="4"/>
        <v>3000</v>
      </c>
      <c r="G171" s="488"/>
      <c r="H171" s="798"/>
      <c r="I171" s="488">
        <v>3000</v>
      </c>
      <c r="J171" s="488">
        <v>3000</v>
      </c>
      <c r="K171" s="488">
        <v>3000</v>
      </c>
      <c r="L171" s="488"/>
      <c r="M171" s="622"/>
    </row>
    <row r="172" spans="1:13" ht="20.100000000000001" customHeight="1">
      <c r="A172" s="173"/>
      <c r="B172" s="170" t="s">
        <v>1317</v>
      </c>
      <c r="C172" s="490"/>
      <c r="D172" s="488">
        <v>9000</v>
      </c>
      <c r="E172" s="488">
        <v>9000</v>
      </c>
      <c r="F172" s="470">
        <f t="shared" si="4"/>
        <v>9000</v>
      </c>
      <c r="G172" s="488"/>
      <c r="H172" s="798"/>
      <c r="I172" s="488">
        <f>5*500*5</f>
        <v>12500</v>
      </c>
      <c r="J172" s="488">
        <f>5*500*5</f>
        <v>12500</v>
      </c>
      <c r="K172" s="488">
        <f>5*500*5</f>
        <v>12500</v>
      </c>
      <c r="L172" s="488"/>
      <c r="M172" s="622"/>
    </row>
    <row r="173" spans="1:13" ht="20.100000000000001" customHeight="1">
      <c r="A173" s="173"/>
      <c r="B173" s="170" t="s">
        <v>1318</v>
      </c>
      <c r="C173" s="490"/>
      <c r="D173" s="488">
        <v>12000</v>
      </c>
      <c r="E173" s="488">
        <v>12000</v>
      </c>
      <c r="F173" s="470">
        <f t="shared" si="4"/>
        <v>12000</v>
      </c>
      <c r="G173" s="488"/>
      <c r="H173" s="798"/>
      <c r="I173" s="488">
        <f>5*2000</f>
        <v>10000</v>
      </c>
      <c r="J173" s="488">
        <v>10000</v>
      </c>
      <c r="K173" s="488">
        <v>10000</v>
      </c>
      <c r="L173" s="488"/>
      <c r="M173" s="622"/>
    </row>
    <row r="174" spans="1:13" ht="20.100000000000001" customHeight="1">
      <c r="A174" s="173"/>
      <c r="B174" s="170" t="s">
        <v>220</v>
      </c>
      <c r="C174" s="490"/>
      <c r="D174" s="488">
        <v>20000</v>
      </c>
      <c r="E174" s="488">
        <v>20000</v>
      </c>
      <c r="F174" s="470">
        <f t="shared" si="4"/>
        <v>20000</v>
      </c>
      <c r="G174" s="488"/>
      <c r="H174" s="798"/>
      <c r="I174" s="488">
        <v>25000</v>
      </c>
      <c r="J174" s="488">
        <v>25000</v>
      </c>
      <c r="K174" s="488">
        <v>25000</v>
      </c>
      <c r="L174" s="488"/>
      <c r="M174" s="622"/>
    </row>
    <row r="175" spans="1:13" ht="20.100000000000001" customHeight="1">
      <c r="A175" s="173"/>
      <c r="B175" s="170" t="s">
        <v>887</v>
      </c>
      <c r="C175" s="490"/>
      <c r="D175" s="488">
        <v>30000</v>
      </c>
      <c r="E175" s="488">
        <v>30000</v>
      </c>
      <c r="F175" s="470">
        <f t="shared" si="4"/>
        <v>30000</v>
      </c>
      <c r="G175" s="488"/>
      <c r="H175" s="798"/>
      <c r="I175" s="488">
        <v>30000</v>
      </c>
      <c r="J175" s="488">
        <v>30000</v>
      </c>
      <c r="K175" s="488">
        <v>30000</v>
      </c>
      <c r="L175" s="488"/>
      <c r="M175" s="761"/>
    </row>
    <row r="176" spans="1:13" ht="20.100000000000001" customHeight="1">
      <c r="A176" s="173"/>
      <c r="B176" s="170" t="s">
        <v>888</v>
      </c>
      <c r="C176" s="490"/>
      <c r="D176" s="488">
        <v>67600</v>
      </c>
      <c r="E176" s="488">
        <v>67600</v>
      </c>
      <c r="F176" s="470">
        <v>67600</v>
      </c>
      <c r="G176" s="488"/>
      <c r="H176" s="798"/>
      <c r="I176" s="488">
        <v>80000</v>
      </c>
      <c r="J176" s="488">
        <v>67600</v>
      </c>
      <c r="K176" s="488">
        <v>67600</v>
      </c>
      <c r="L176" s="488"/>
      <c r="M176" s="633" t="s">
        <v>1231</v>
      </c>
    </row>
    <row r="177" spans="1:13" ht="20.100000000000001" customHeight="1">
      <c r="A177" s="173"/>
      <c r="B177" s="170" t="s">
        <v>1319</v>
      </c>
      <c r="C177" s="490"/>
      <c r="D177" s="488">
        <v>50000</v>
      </c>
      <c r="E177" s="488">
        <v>50000</v>
      </c>
      <c r="F177" s="470">
        <v>50000</v>
      </c>
      <c r="G177" s="488"/>
      <c r="H177" s="798"/>
      <c r="I177" s="488">
        <v>50000</v>
      </c>
      <c r="J177" s="488">
        <v>50000</v>
      </c>
      <c r="K177" s="488">
        <v>50000</v>
      </c>
      <c r="L177" s="488"/>
      <c r="M177" s="633"/>
    </row>
    <row r="178" spans="1:13" ht="20.100000000000001" customHeight="1">
      <c r="A178" s="173"/>
      <c r="B178" s="170" t="s">
        <v>406</v>
      </c>
      <c r="C178" s="490"/>
      <c r="D178" s="488">
        <v>10000</v>
      </c>
      <c r="E178" s="488">
        <v>10000</v>
      </c>
      <c r="F178" s="470">
        <f t="shared" si="4"/>
        <v>10000</v>
      </c>
      <c r="G178" s="488"/>
      <c r="H178" s="798"/>
      <c r="I178" s="488">
        <v>15000</v>
      </c>
      <c r="J178" s="488">
        <v>10000</v>
      </c>
      <c r="K178" s="488">
        <v>10000</v>
      </c>
      <c r="L178" s="488"/>
      <c r="M178" s="622"/>
    </row>
    <row r="179" spans="1:13" ht="20.100000000000001" customHeight="1">
      <c r="A179" s="173"/>
      <c r="B179" s="170" t="s">
        <v>1320</v>
      </c>
      <c r="C179" s="490"/>
      <c r="D179" s="488"/>
      <c r="E179" s="488"/>
      <c r="F179" s="470"/>
      <c r="G179" s="488"/>
      <c r="H179" s="798"/>
      <c r="I179" s="488">
        <v>15000</v>
      </c>
      <c r="J179" s="488">
        <v>15000</v>
      </c>
      <c r="K179" s="488">
        <v>15000</v>
      </c>
      <c r="L179" s="488"/>
      <c r="M179" s="634" t="s">
        <v>1321</v>
      </c>
    </row>
    <row r="180" spans="1:13" ht="20.100000000000001" customHeight="1">
      <c r="A180" s="173"/>
      <c r="B180" s="170" t="s">
        <v>10</v>
      </c>
      <c r="C180" s="490"/>
      <c r="D180" s="488">
        <v>5000</v>
      </c>
      <c r="E180" s="488">
        <v>5000</v>
      </c>
      <c r="F180" s="470">
        <f t="shared" si="4"/>
        <v>5000</v>
      </c>
      <c r="G180" s="488"/>
      <c r="H180" s="798"/>
      <c r="I180" s="488">
        <v>5000</v>
      </c>
      <c r="J180" s="488">
        <v>5000</v>
      </c>
      <c r="K180" s="488">
        <v>5000</v>
      </c>
      <c r="L180" s="488"/>
      <c r="M180" s="622"/>
    </row>
    <row r="181" spans="1:13" ht="20.100000000000001" customHeight="1">
      <c r="A181" s="173"/>
      <c r="B181" s="170" t="s">
        <v>373</v>
      </c>
      <c r="C181" s="490"/>
      <c r="D181" s="488">
        <v>24480</v>
      </c>
      <c r="E181" s="488">
        <v>24480</v>
      </c>
      <c r="F181" s="470">
        <f t="shared" si="4"/>
        <v>24480</v>
      </c>
      <c r="G181" s="488"/>
      <c r="H181" s="798"/>
      <c r="I181" s="488">
        <v>24480</v>
      </c>
      <c r="J181" s="488">
        <v>24480</v>
      </c>
      <c r="K181" s="488">
        <v>24480</v>
      </c>
      <c r="L181" s="488"/>
      <c r="M181" s="622"/>
    </row>
    <row r="182" spans="1:13" ht="20.100000000000001" customHeight="1">
      <c r="A182" s="173"/>
      <c r="B182" s="170" t="s">
        <v>889</v>
      </c>
      <c r="C182" s="490"/>
      <c r="D182" s="488">
        <v>36000</v>
      </c>
      <c r="E182" s="488">
        <v>36000</v>
      </c>
      <c r="F182" s="470">
        <f t="shared" si="4"/>
        <v>36000</v>
      </c>
      <c r="G182" s="488"/>
      <c r="H182" s="798"/>
      <c r="I182" s="488">
        <v>36000</v>
      </c>
      <c r="J182" s="488">
        <v>36000</v>
      </c>
      <c r="K182" s="488">
        <v>36000</v>
      </c>
      <c r="L182" s="488"/>
      <c r="M182" s="622"/>
    </row>
    <row r="183" spans="1:13" ht="20.100000000000001" customHeight="1">
      <c r="A183" s="173"/>
      <c r="B183" s="170" t="s">
        <v>890</v>
      </c>
      <c r="C183" s="490"/>
      <c r="D183" s="488">
        <v>10000</v>
      </c>
      <c r="E183" s="488">
        <v>10000</v>
      </c>
      <c r="F183" s="470">
        <f t="shared" si="4"/>
        <v>10000</v>
      </c>
      <c r="G183" s="488"/>
      <c r="H183" s="798"/>
      <c r="I183" s="488">
        <v>10000</v>
      </c>
      <c r="J183" s="488">
        <v>10000</v>
      </c>
      <c r="K183" s="488">
        <v>10000</v>
      </c>
      <c r="L183" s="488"/>
      <c r="M183" s="622"/>
    </row>
    <row r="184" spans="1:13" ht="20.100000000000001" customHeight="1">
      <c r="A184" s="173"/>
      <c r="B184" s="170" t="s">
        <v>7</v>
      </c>
      <c r="C184" s="490"/>
      <c r="D184" s="488">
        <v>5000</v>
      </c>
      <c r="E184" s="488">
        <v>5000</v>
      </c>
      <c r="F184" s="470">
        <f t="shared" si="4"/>
        <v>5000</v>
      </c>
      <c r="G184" s="488"/>
      <c r="H184" s="798"/>
      <c r="I184" s="488">
        <v>5000</v>
      </c>
      <c r="J184" s="488">
        <v>5000</v>
      </c>
      <c r="K184" s="488">
        <v>5000</v>
      </c>
      <c r="L184" s="488"/>
      <c r="M184" s="622"/>
    </row>
    <row r="185" spans="1:13" ht="20.100000000000001" customHeight="1">
      <c r="A185" s="163"/>
      <c r="B185" s="170" t="s">
        <v>48</v>
      </c>
      <c r="C185" s="490"/>
      <c r="D185" s="488">
        <v>24000</v>
      </c>
      <c r="E185" s="488">
        <v>24000</v>
      </c>
      <c r="F185" s="470">
        <f t="shared" si="4"/>
        <v>24000</v>
      </c>
      <c r="G185" s="488"/>
      <c r="H185" s="798"/>
      <c r="I185" s="488">
        <v>24000</v>
      </c>
      <c r="J185" s="488">
        <v>36000</v>
      </c>
      <c r="K185" s="488">
        <v>36000</v>
      </c>
      <c r="L185" s="488"/>
      <c r="M185" s="622"/>
    </row>
    <row r="186" spans="1:13" ht="20.100000000000001" customHeight="1">
      <c r="A186" s="163"/>
      <c r="B186" s="170" t="s">
        <v>891</v>
      </c>
      <c r="C186" s="490"/>
      <c r="D186" s="488">
        <v>10000</v>
      </c>
      <c r="E186" s="488">
        <v>10000</v>
      </c>
      <c r="F186" s="470">
        <f t="shared" si="4"/>
        <v>10000</v>
      </c>
      <c r="G186" s="488"/>
      <c r="H186" s="798"/>
      <c r="I186" s="488">
        <v>20000</v>
      </c>
      <c r="J186" s="488">
        <v>10000</v>
      </c>
      <c r="K186" s="488">
        <v>10000</v>
      </c>
      <c r="L186" s="488"/>
      <c r="M186" s="761"/>
    </row>
    <row r="187" spans="1:13" ht="20.100000000000001" customHeight="1">
      <c r="A187" s="163"/>
      <c r="B187" s="170" t="s">
        <v>616</v>
      </c>
      <c r="C187" s="490"/>
      <c r="D187" s="488">
        <v>10000</v>
      </c>
      <c r="E187" s="488">
        <v>5000</v>
      </c>
      <c r="F187" s="470">
        <f t="shared" si="4"/>
        <v>5000</v>
      </c>
      <c r="G187" s="488"/>
      <c r="H187" s="798"/>
      <c r="I187" s="488">
        <v>10000</v>
      </c>
      <c r="J187" s="488">
        <v>5000</v>
      </c>
      <c r="K187" s="488">
        <v>5000</v>
      </c>
      <c r="L187" s="488"/>
      <c r="M187" s="624"/>
    </row>
    <row r="188" spans="1:13" ht="20.100000000000001" customHeight="1">
      <c r="A188" s="163"/>
      <c r="B188" s="170" t="s">
        <v>23</v>
      </c>
      <c r="C188" s="490"/>
      <c r="D188" s="488">
        <v>10000</v>
      </c>
      <c r="E188" s="488">
        <v>10000</v>
      </c>
      <c r="F188" s="470">
        <f t="shared" si="4"/>
        <v>10000</v>
      </c>
      <c r="G188" s="488"/>
      <c r="H188" s="798"/>
      <c r="I188" s="488">
        <v>20000</v>
      </c>
      <c r="J188" s="488">
        <v>10000</v>
      </c>
      <c r="K188" s="488">
        <v>10000</v>
      </c>
      <c r="L188" s="488"/>
      <c r="M188" s="761" t="s">
        <v>892</v>
      </c>
    </row>
    <row r="189" spans="1:13" ht="20.100000000000001" customHeight="1">
      <c r="A189" s="163"/>
      <c r="B189" s="170" t="s">
        <v>444</v>
      </c>
      <c r="C189" s="490"/>
      <c r="D189" s="488">
        <v>30000</v>
      </c>
      <c r="E189" s="488">
        <v>30000</v>
      </c>
      <c r="F189" s="470">
        <f t="shared" si="4"/>
        <v>30000</v>
      </c>
      <c r="G189" s="488"/>
      <c r="H189" s="798"/>
      <c r="I189" s="488">
        <v>30000</v>
      </c>
      <c r="J189" s="488">
        <v>30000</v>
      </c>
      <c r="K189" s="488">
        <v>30000</v>
      </c>
      <c r="L189" s="488"/>
      <c r="M189" s="622"/>
    </row>
    <row r="190" spans="1:13" ht="20.100000000000001" customHeight="1">
      <c r="A190" s="163"/>
      <c r="B190" s="170" t="s">
        <v>893</v>
      </c>
      <c r="C190" s="490"/>
      <c r="D190" s="488">
        <v>10000</v>
      </c>
      <c r="E190" s="488">
        <v>10000</v>
      </c>
      <c r="F190" s="470">
        <f t="shared" si="4"/>
        <v>10000</v>
      </c>
      <c r="G190" s="488"/>
      <c r="H190" s="798"/>
      <c r="I190" s="488"/>
      <c r="J190" s="488"/>
      <c r="K190" s="488"/>
      <c r="L190" s="488"/>
      <c r="M190" s="623"/>
    </row>
    <row r="191" spans="1:13" ht="33" customHeight="1">
      <c r="A191" s="163"/>
      <c r="B191" s="170" t="s">
        <v>894</v>
      </c>
      <c r="C191" s="490"/>
      <c r="D191" s="488">
        <v>35000</v>
      </c>
      <c r="E191" s="488">
        <v>20000</v>
      </c>
      <c r="F191" s="470">
        <f t="shared" si="4"/>
        <v>20000</v>
      </c>
      <c r="G191" s="488"/>
      <c r="H191" s="798"/>
      <c r="I191" s="488">
        <v>35000</v>
      </c>
      <c r="J191" s="488">
        <v>35000</v>
      </c>
      <c r="K191" s="488">
        <v>35000</v>
      </c>
      <c r="L191" s="488"/>
      <c r="M191" s="623"/>
    </row>
    <row r="192" spans="1:13" ht="20.100000000000001" customHeight="1">
      <c r="A192" s="163"/>
      <c r="B192" s="170" t="s">
        <v>895</v>
      </c>
      <c r="C192" s="490"/>
      <c r="D192" s="488">
        <v>280000</v>
      </c>
      <c r="E192" s="488">
        <v>150000</v>
      </c>
      <c r="F192" s="470">
        <f t="shared" si="4"/>
        <v>150000</v>
      </c>
      <c r="G192" s="488"/>
      <c r="H192" s="798"/>
      <c r="I192" s="488"/>
      <c r="J192" s="488"/>
      <c r="K192" s="488"/>
      <c r="L192" s="488"/>
      <c r="M192" s="623"/>
    </row>
    <row r="193" spans="1:13" ht="20.100000000000001" customHeight="1">
      <c r="A193" s="163"/>
      <c r="B193" s="170" t="s">
        <v>1171</v>
      </c>
      <c r="C193" s="490"/>
      <c r="D193" s="488">
        <v>25000</v>
      </c>
      <c r="E193" s="488">
        <v>25000</v>
      </c>
      <c r="F193" s="470">
        <f t="shared" si="4"/>
        <v>25000</v>
      </c>
      <c r="G193" s="488"/>
      <c r="H193" s="798"/>
      <c r="I193" s="488">
        <v>25000</v>
      </c>
      <c r="J193" s="488">
        <v>25000</v>
      </c>
      <c r="K193" s="488">
        <v>25000</v>
      </c>
      <c r="L193" s="488"/>
      <c r="M193" s="623"/>
    </row>
    <row r="194" spans="1:13" ht="20.100000000000001" customHeight="1">
      <c r="A194" s="163"/>
      <c r="B194" s="170" t="s">
        <v>897</v>
      </c>
      <c r="C194" s="490"/>
      <c r="D194" s="488">
        <v>10000</v>
      </c>
      <c r="E194" s="488">
        <v>10000</v>
      </c>
      <c r="F194" s="470">
        <f t="shared" si="4"/>
        <v>10000</v>
      </c>
      <c r="G194" s="488"/>
      <c r="H194" s="798"/>
      <c r="I194" s="488">
        <v>20000</v>
      </c>
      <c r="J194" s="488">
        <v>10000</v>
      </c>
      <c r="K194" s="488">
        <v>10000</v>
      </c>
      <c r="L194" s="488"/>
      <c r="M194" s="623"/>
    </row>
    <row r="195" spans="1:13" ht="20.100000000000001" customHeight="1">
      <c r="A195" s="163"/>
      <c r="B195" s="170" t="s">
        <v>1322</v>
      </c>
      <c r="C195" s="490"/>
      <c r="D195" s="488"/>
      <c r="E195" s="488"/>
      <c r="F195" s="470"/>
      <c r="G195" s="488"/>
      <c r="H195" s="798"/>
      <c r="I195" s="488">
        <v>20000</v>
      </c>
      <c r="J195" s="488">
        <v>20000</v>
      </c>
      <c r="K195" s="488">
        <v>20000</v>
      </c>
      <c r="L195" s="488"/>
      <c r="M195" s="623" t="s">
        <v>1323</v>
      </c>
    </row>
    <row r="196" spans="1:13" ht="20.100000000000001" customHeight="1">
      <c r="A196" s="163"/>
      <c r="B196" s="170" t="s">
        <v>254</v>
      </c>
      <c r="C196" s="490"/>
      <c r="D196" s="488">
        <v>30000</v>
      </c>
      <c r="E196" s="488">
        <v>20000</v>
      </c>
      <c r="F196" s="470">
        <f t="shared" si="4"/>
        <v>20000</v>
      </c>
      <c r="G196" s="488"/>
      <c r="H196" s="798"/>
      <c r="I196" s="488">
        <v>20000</v>
      </c>
      <c r="J196" s="488">
        <v>20000</v>
      </c>
      <c r="K196" s="488">
        <v>20000</v>
      </c>
      <c r="L196" s="488"/>
      <c r="M196" s="622"/>
    </row>
    <row r="197" spans="1:13" ht="20.100000000000001" customHeight="1">
      <c r="A197" s="163"/>
      <c r="B197" s="170" t="s">
        <v>255</v>
      </c>
      <c r="C197" s="490"/>
      <c r="D197" s="488">
        <v>20000</v>
      </c>
      <c r="E197" s="488">
        <v>20000</v>
      </c>
      <c r="F197" s="470">
        <f t="shared" si="4"/>
        <v>20000</v>
      </c>
      <c r="G197" s="488"/>
      <c r="H197" s="798"/>
      <c r="I197" s="488">
        <v>20000</v>
      </c>
      <c r="J197" s="488">
        <v>20000</v>
      </c>
      <c r="K197" s="488">
        <v>20000</v>
      </c>
      <c r="L197" s="488"/>
      <c r="M197" s="622"/>
    </row>
    <row r="198" spans="1:13" ht="20.100000000000001" customHeight="1">
      <c r="A198" s="163"/>
      <c r="B198" s="170" t="s">
        <v>256</v>
      </c>
      <c r="C198" s="490"/>
      <c r="D198" s="488">
        <v>20000</v>
      </c>
      <c r="E198" s="488">
        <v>20000</v>
      </c>
      <c r="F198" s="470">
        <f t="shared" si="4"/>
        <v>20000</v>
      </c>
      <c r="G198" s="488"/>
      <c r="H198" s="798"/>
      <c r="I198" s="488">
        <v>20000</v>
      </c>
      <c r="J198" s="488">
        <v>20000</v>
      </c>
      <c r="K198" s="488">
        <v>20000</v>
      </c>
      <c r="L198" s="488"/>
      <c r="M198" s="622"/>
    </row>
    <row r="199" spans="1:13" ht="20.100000000000001" customHeight="1">
      <c r="A199" s="163"/>
      <c r="B199" s="170" t="s">
        <v>713</v>
      </c>
      <c r="C199" s="490"/>
      <c r="D199" s="488">
        <v>36000</v>
      </c>
      <c r="E199" s="488">
        <v>36000</v>
      </c>
      <c r="F199" s="470">
        <f t="shared" si="4"/>
        <v>36000</v>
      </c>
      <c r="G199" s="488"/>
      <c r="H199" s="798"/>
      <c r="I199" s="488">
        <v>35000</v>
      </c>
      <c r="J199" s="488">
        <v>36000</v>
      </c>
      <c r="K199" s="488">
        <v>36000</v>
      </c>
      <c r="L199" s="488"/>
      <c r="M199" s="761" t="s">
        <v>898</v>
      </c>
    </row>
    <row r="200" spans="1:13" ht="20.100000000000001" customHeight="1">
      <c r="A200" s="163"/>
      <c r="B200" s="170" t="s">
        <v>1324</v>
      </c>
      <c r="C200" s="490"/>
      <c r="D200" s="488">
        <v>91300</v>
      </c>
      <c r="E200" s="488">
        <v>91300</v>
      </c>
      <c r="F200" s="470">
        <f t="shared" si="4"/>
        <v>91300</v>
      </c>
      <c r="G200" s="488"/>
      <c r="H200" s="798"/>
      <c r="I200" s="488">
        <v>50000</v>
      </c>
      <c r="J200" s="488"/>
      <c r="K200" s="488"/>
      <c r="L200" s="488"/>
      <c r="M200" s="761" t="s">
        <v>1323</v>
      </c>
    </row>
    <row r="201" spans="1:13" ht="20.100000000000001" customHeight="1">
      <c r="A201" s="163"/>
      <c r="B201" s="170" t="s">
        <v>1325</v>
      </c>
      <c r="C201" s="490"/>
      <c r="D201" s="488"/>
      <c r="E201" s="488"/>
      <c r="F201" s="470"/>
      <c r="G201" s="488"/>
      <c r="H201" s="798"/>
      <c r="I201" s="488">
        <v>10000</v>
      </c>
      <c r="J201" s="488">
        <v>10000</v>
      </c>
      <c r="K201" s="488">
        <v>10000</v>
      </c>
      <c r="L201" s="488"/>
      <c r="M201" s="761"/>
    </row>
    <row r="202" spans="1:13" ht="30.75" customHeight="1">
      <c r="A202" s="163"/>
      <c r="B202" s="170" t="s">
        <v>1326</v>
      </c>
      <c r="C202" s="490"/>
      <c r="D202" s="488"/>
      <c r="E202" s="488"/>
      <c r="F202" s="470"/>
      <c r="G202" s="488"/>
      <c r="H202" s="798"/>
      <c r="I202" s="488">
        <v>50000</v>
      </c>
      <c r="J202" s="488">
        <v>50000</v>
      </c>
      <c r="K202" s="488">
        <v>50000</v>
      </c>
      <c r="L202" s="488"/>
      <c r="M202" s="761" t="s">
        <v>1323</v>
      </c>
    </row>
    <row r="203" spans="1:13" ht="36" customHeight="1">
      <c r="A203" s="163"/>
      <c r="B203" s="170" t="s">
        <v>1633</v>
      </c>
      <c r="C203" s="490"/>
      <c r="D203" s="488"/>
      <c r="E203" s="488"/>
      <c r="F203" s="470"/>
      <c r="G203" s="488"/>
      <c r="H203" s="798"/>
      <c r="I203" s="488">
        <v>6000</v>
      </c>
      <c r="J203" s="488">
        <v>50000</v>
      </c>
      <c r="K203" s="488">
        <v>50000</v>
      </c>
      <c r="L203" s="488"/>
      <c r="M203" s="896"/>
    </row>
    <row r="204" spans="1:13" ht="20.100000000000001" customHeight="1">
      <c r="A204" s="176">
        <v>5</v>
      </c>
      <c r="B204" s="785" t="s">
        <v>310</v>
      </c>
      <c r="C204" s="786"/>
      <c r="D204" s="787">
        <f>D205+D209+D210</f>
        <v>803672.08000000007</v>
      </c>
      <c r="E204" s="787">
        <f>E205+E209+E210</f>
        <v>668672.08000000007</v>
      </c>
      <c r="F204" s="466">
        <f t="shared" si="4"/>
        <v>668672.08000000007</v>
      </c>
      <c r="G204" s="787"/>
      <c r="H204" s="789"/>
      <c r="I204" s="787">
        <f>I205+I209+I210</f>
        <v>874942.28</v>
      </c>
      <c r="J204" s="787">
        <f>J205+J209+J210</f>
        <v>664942.28</v>
      </c>
      <c r="K204" s="787">
        <f>K205+K209+K210</f>
        <v>664942.28</v>
      </c>
      <c r="L204" s="787"/>
      <c r="M204" s="803"/>
    </row>
    <row r="205" spans="1:13" ht="20.100000000000001" customHeight="1">
      <c r="A205" s="171"/>
      <c r="B205" s="169" t="s">
        <v>377</v>
      </c>
      <c r="C205" s="496"/>
      <c r="D205" s="472">
        <f>D206+D207+D208</f>
        <v>246438.66000000003</v>
      </c>
      <c r="E205" s="472">
        <f>E206+E207+E208</f>
        <v>246438.66000000003</v>
      </c>
      <c r="F205" s="466">
        <f t="shared" si="4"/>
        <v>246438.66000000003</v>
      </c>
      <c r="G205" s="472"/>
      <c r="H205" s="775"/>
      <c r="I205" s="472">
        <f>I206+I207+I208</f>
        <v>290688.57</v>
      </c>
      <c r="J205" s="472">
        <f>J206+J207+J208</f>
        <v>290688.57</v>
      </c>
      <c r="K205" s="472">
        <f>K206+K207+K208</f>
        <v>290688.57</v>
      </c>
      <c r="L205" s="472"/>
      <c r="M205" s="622"/>
    </row>
    <row r="206" spans="1:13" ht="20.100000000000001" customHeight="1">
      <c r="A206" s="173"/>
      <c r="B206" s="170" t="s">
        <v>101</v>
      </c>
      <c r="C206" s="489">
        <f>7.68+0.5+0.3</f>
        <v>8.48</v>
      </c>
      <c r="D206" s="488">
        <f>C206*1390*12</f>
        <v>141446.40000000002</v>
      </c>
      <c r="E206" s="488">
        <f>D206</f>
        <v>141446.40000000002</v>
      </c>
      <c r="F206" s="470">
        <f t="shared" si="4"/>
        <v>141446.40000000002</v>
      </c>
      <c r="G206" s="488"/>
      <c r="H206" s="797">
        <f>8.34+0.65+0.3</f>
        <v>9.2900000000000009</v>
      </c>
      <c r="I206" s="488">
        <f>H206*1490*12</f>
        <v>166105.20000000001</v>
      </c>
      <c r="J206" s="488">
        <f t="shared" ref="J206:K209" si="6">I206</f>
        <v>166105.20000000001</v>
      </c>
      <c r="K206" s="488">
        <f t="shared" si="6"/>
        <v>166105.20000000001</v>
      </c>
      <c r="L206" s="488"/>
      <c r="M206" s="622"/>
    </row>
    <row r="207" spans="1:13" ht="20.100000000000001" customHeight="1">
      <c r="A207" s="171"/>
      <c r="B207" s="170" t="s">
        <v>791</v>
      </c>
      <c r="C207" s="489">
        <f>2.045+2.454</f>
        <v>4.4990000000000006</v>
      </c>
      <c r="D207" s="488">
        <f>C207*1390*12</f>
        <v>75043.320000000007</v>
      </c>
      <c r="E207" s="488">
        <f>D207</f>
        <v>75043.320000000007</v>
      </c>
      <c r="F207" s="470">
        <f t="shared" si="4"/>
        <v>75043.320000000007</v>
      </c>
      <c r="G207" s="488"/>
      <c r="H207" s="797">
        <v>4.9450000000000003</v>
      </c>
      <c r="I207" s="488">
        <f>H207*1490*12</f>
        <v>88416.6</v>
      </c>
      <c r="J207" s="488">
        <f t="shared" si="6"/>
        <v>88416.6</v>
      </c>
      <c r="K207" s="488">
        <f t="shared" si="6"/>
        <v>88416.6</v>
      </c>
      <c r="L207" s="488"/>
      <c r="M207" s="622"/>
    </row>
    <row r="208" spans="1:13" ht="20.100000000000001" customHeight="1">
      <c r="A208" s="171"/>
      <c r="B208" s="170" t="s">
        <v>733</v>
      </c>
      <c r="C208" s="489">
        <f>(7.68+0.3)*22.5%</f>
        <v>1.7954999999999999</v>
      </c>
      <c r="D208" s="488">
        <f>C208*1390*12</f>
        <v>29948.94</v>
      </c>
      <c r="E208" s="488">
        <f>D208</f>
        <v>29948.94</v>
      </c>
      <c r="F208" s="470">
        <f t="shared" si="4"/>
        <v>29948.94</v>
      </c>
      <c r="G208" s="488"/>
      <c r="H208" s="797">
        <f>(8.34+0.65)*22.5%</f>
        <v>2.0227500000000003</v>
      </c>
      <c r="I208" s="488">
        <f>H208*1490*12</f>
        <v>36166.770000000004</v>
      </c>
      <c r="J208" s="488">
        <f t="shared" si="6"/>
        <v>36166.770000000004</v>
      </c>
      <c r="K208" s="488">
        <f t="shared" si="6"/>
        <v>36166.770000000004</v>
      </c>
      <c r="L208" s="488"/>
      <c r="M208" s="622"/>
    </row>
    <row r="209" spans="1:13" ht="20.100000000000001" customHeight="1">
      <c r="A209" s="171"/>
      <c r="B209" s="169" t="s">
        <v>732</v>
      </c>
      <c r="C209" s="492"/>
      <c r="D209" s="491">
        <f>(C206+C208)*1210*25/75*12</f>
        <v>49733.420000000013</v>
      </c>
      <c r="E209" s="491">
        <f>D209</f>
        <v>49733.420000000013</v>
      </c>
      <c r="F209" s="466">
        <f t="shared" si="4"/>
        <v>49733.420000000013</v>
      </c>
      <c r="G209" s="491"/>
      <c r="H209" s="799"/>
      <c r="I209" s="491">
        <f>(H206+H208)*1210*25/75*12</f>
        <v>54753.710000000014</v>
      </c>
      <c r="J209" s="491">
        <f t="shared" si="6"/>
        <v>54753.710000000014</v>
      </c>
      <c r="K209" s="491">
        <f t="shared" si="6"/>
        <v>54753.710000000014</v>
      </c>
      <c r="L209" s="491"/>
      <c r="M209" s="622"/>
    </row>
    <row r="210" spans="1:13" ht="20.100000000000001" customHeight="1">
      <c r="A210" s="173"/>
      <c r="B210" s="169" t="s">
        <v>380</v>
      </c>
      <c r="C210" s="471"/>
      <c r="D210" s="472">
        <f>SUM(D211:D231)</f>
        <v>507500</v>
      </c>
      <c r="E210" s="472">
        <f>SUM(E211:E231)</f>
        <v>372500</v>
      </c>
      <c r="F210" s="466">
        <f t="shared" si="4"/>
        <v>372500</v>
      </c>
      <c r="G210" s="472"/>
      <c r="H210" s="775"/>
      <c r="I210" s="472">
        <f>SUM(I211:I234)</f>
        <v>529500</v>
      </c>
      <c r="J210" s="472">
        <f>SUM(J211:J234)</f>
        <v>319500</v>
      </c>
      <c r="K210" s="472">
        <f>SUM(K211:K234)</f>
        <v>319500</v>
      </c>
      <c r="L210" s="472"/>
      <c r="M210" s="622"/>
    </row>
    <row r="211" spans="1:13" ht="20.100000000000001" customHeight="1">
      <c r="A211" s="163"/>
      <c r="B211" s="170" t="s">
        <v>1327</v>
      </c>
      <c r="C211" s="490"/>
      <c r="D211" s="488">
        <v>13500</v>
      </c>
      <c r="E211" s="488">
        <f>D211</f>
        <v>13500</v>
      </c>
      <c r="F211" s="470">
        <f t="shared" si="4"/>
        <v>13500</v>
      </c>
      <c r="G211" s="488"/>
      <c r="H211" s="798"/>
      <c r="I211" s="488">
        <f>6000+5500+5000</f>
        <v>16500</v>
      </c>
      <c r="J211" s="488">
        <v>16500</v>
      </c>
      <c r="K211" s="488">
        <v>16500</v>
      </c>
      <c r="L211" s="488"/>
      <c r="M211" s="622"/>
    </row>
    <row r="212" spans="1:13" ht="20.100000000000001" customHeight="1">
      <c r="A212" s="159"/>
      <c r="B212" s="170" t="s">
        <v>777</v>
      </c>
      <c r="C212" s="490"/>
      <c r="D212" s="488">
        <v>3500</v>
      </c>
      <c r="E212" s="488">
        <f>D212</f>
        <v>3500</v>
      </c>
      <c r="F212" s="470">
        <f t="shared" si="4"/>
        <v>3500</v>
      </c>
      <c r="G212" s="488"/>
      <c r="H212" s="798"/>
      <c r="I212" s="488">
        <v>3500</v>
      </c>
      <c r="J212" s="488">
        <v>3500</v>
      </c>
      <c r="K212" s="488">
        <v>3500</v>
      </c>
      <c r="L212" s="488"/>
      <c r="M212" s="622"/>
    </row>
    <row r="213" spans="1:13" ht="20.100000000000001" customHeight="1">
      <c r="A213" s="163"/>
      <c r="B213" s="170" t="s">
        <v>1328</v>
      </c>
      <c r="C213" s="490"/>
      <c r="D213" s="488">
        <v>4500</v>
      </c>
      <c r="E213" s="488">
        <f>D213</f>
        <v>4500</v>
      </c>
      <c r="F213" s="470">
        <f t="shared" si="4"/>
        <v>4500</v>
      </c>
      <c r="G213" s="488"/>
      <c r="H213" s="798"/>
      <c r="I213" s="488">
        <f>3*500*5</f>
        <v>7500</v>
      </c>
      <c r="J213" s="488">
        <v>7500</v>
      </c>
      <c r="K213" s="488">
        <v>7500</v>
      </c>
      <c r="L213" s="488"/>
      <c r="M213" s="622"/>
    </row>
    <row r="214" spans="1:13" ht="20.100000000000001" customHeight="1">
      <c r="A214" s="163"/>
      <c r="B214" s="170" t="s">
        <v>730</v>
      </c>
      <c r="C214" s="490"/>
      <c r="D214" s="488">
        <v>12000</v>
      </c>
      <c r="E214" s="488">
        <f>D214</f>
        <v>12000</v>
      </c>
      <c r="F214" s="470">
        <f t="shared" si="4"/>
        <v>12000</v>
      </c>
      <c r="G214" s="488"/>
      <c r="H214" s="798"/>
      <c r="I214" s="488">
        <v>12000</v>
      </c>
      <c r="J214" s="488">
        <v>12000</v>
      </c>
      <c r="K214" s="488">
        <v>12000</v>
      </c>
      <c r="L214" s="488"/>
      <c r="M214" s="622"/>
    </row>
    <row r="215" spans="1:13" ht="20.100000000000001" customHeight="1">
      <c r="A215" s="163"/>
      <c r="B215" s="170" t="s">
        <v>731</v>
      </c>
      <c r="C215" s="490"/>
      <c r="D215" s="488">
        <v>6000</v>
      </c>
      <c r="E215" s="488">
        <f>D215</f>
        <v>6000</v>
      </c>
      <c r="F215" s="470">
        <f t="shared" si="4"/>
        <v>6000</v>
      </c>
      <c r="G215" s="488"/>
      <c r="H215" s="798"/>
      <c r="I215" s="488">
        <v>6000</v>
      </c>
      <c r="J215" s="488">
        <v>6000</v>
      </c>
      <c r="K215" s="488">
        <v>6000</v>
      </c>
      <c r="L215" s="488"/>
      <c r="M215" s="622"/>
    </row>
    <row r="216" spans="1:13" ht="20.100000000000001" customHeight="1">
      <c r="A216" s="163"/>
      <c r="B216" s="170" t="s">
        <v>1329</v>
      </c>
      <c r="C216" s="490"/>
      <c r="D216" s="488">
        <v>55000</v>
      </c>
      <c r="E216" s="488">
        <v>30000</v>
      </c>
      <c r="F216" s="470">
        <f t="shared" si="4"/>
        <v>30000</v>
      </c>
      <c r="G216" s="488"/>
      <c r="H216" s="798"/>
      <c r="I216" s="488">
        <v>35000</v>
      </c>
      <c r="J216" s="488">
        <v>20000</v>
      </c>
      <c r="K216" s="488">
        <v>20000</v>
      </c>
      <c r="L216" s="488"/>
      <c r="M216" s="623" t="s">
        <v>1330</v>
      </c>
    </row>
    <row r="217" spans="1:13" ht="20.100000000000001" customHeight="1">
      <c r="A217" s="163"/>
      <c r="B217" s="170" t="s">
        <v>1331</v>
      </c>
      <c r="C217" s="490"/>
      <c r="D217" s="488"/>
      <c r="E217" s="488"/>
      <c r="F217" s="470"/>
      <c r="G217" s="488"/>
      <c r="H217" s="798"/>
      <c r="I217" s="488">
        <v>20000</v>
      </c>
      <c r="J217" s="488">
        <v>10000</v>
      </c>
      <c r="K217" s="488">
        <v>10000</v>
      </c>
      <c r="L217" s="488"/>
      <c r="M217" s="623"/>
    </row>
    <row r="218" spans="1:13" ht="20.100000000000001" customHeight="1">
      <c r="A218" s="159"/>
      <c r="B218" s="170" t="s">
        <v>901</v>
      </c>
      <c r="C218" s="490"/>
      <c r="D218" s="488">
        <v>20000</v>
      </c>
      <c r="E218" s="488">
        <v>20000</v>
      </c>
      <c r="F218" s="470">
        <f t="shared" si="4"/>
        <v>20000</v>
      </c>
      <c r="G218" s="488"/>
      <c r="H218" s="798"/>
      <c r="I218" s="488">
        <v>20000</v>
      </c>
      <c r="J218" s="488">
        <v>20000</v>
      </c>
      <c r="K218" s="488">
        <v>20000</v>
      </c>
      <c r="L218" s="488"/>
      <c r="M218" s="622"/>
    </row>
    <row r="219" spans="1:13" ht="20.100000000000001" customHeight="1">
      <c r="A219" s="159"/>
      <c r="B219" s="170" t="s">
        <v>505</v>
      </c>
      <c r="C219" s="490"/>
      <c r="D219" s="488">
        <v>20000</v>
      </c>
      <c r="E219" s="488">
        <v>20000</v>
      </c>
      <c r="F219" s="470">
        <f t="shared" si="4"/>
        <v>20000</v>
      </c>
      <c r="G219" s="488"/>
      <c r="H219" s="798"/>
      <c r="I219" s="488">
        <v>20000</v>
      </c>
      <c r="J219" s="488">
        <v>20000</v>
      </c>
      <c r="K219" s="488">
        <v>20000</v>
      </c>
      <c r="L219" s="488"/>
      <c r="M219" s="761"/>
    </row>
    <row r="220" spans="1:13" ht="20.100000000000001" customHeight="1">
      <c r="A220" s="159"/>
      <c r="B220" s="170" t="s">
        <v>902</v>
      </c>
      <c r="C220" s="490"/>
      <c r="D220" s="488">
        <v>20000</v>
      </c>
      <c r="E220" s="488">
        <v>10000</v>
      </c>
      <c r="F220" s="470">
        <f t="shared" si="4"/>
        <v>10000</v>
      </c>
      <c r="G220" s="488"/>
      <c r="H220" s="798"/>
      <c r="I220" s="488">
        <v>20000</v>
      </c>
      <c r="J220" s="488">
        <v>10000</v>
      </c>
      <c r="K220" s="488">
        <v>10000</v>
      </c>
      <c r="L220" s="488"/>
      <c r="M220" s="622"/>
    </row>
    <row r="221" spans="1:13" ht="20.100000000000001" customHeight="1">
      <c r="A221" s="163"/>
      <c r="B221" s="170" t="s">
        <v>450</v>
      </c>
      <c r="C221" s="490"/>
      <c r="D221" s="488">
        <v>10000</v>
      </c>
      <c r="E221" s="488">
        <v>10000</v>
      </c>
      <c r="F221" s="470">
        <f t="shared" ref="F221:F285" si="7">E221</f>
        <v>10000</v>
      </c>
      <c r="G221" s="488"/>
      <c r="H221" s="798"/>
      <c r="I221" s="488">
        <v>10000</v>
      </c>
      <c r="J221" s="488">
        <v>10000</v>
      </c>
      <c r="K221" s="488">
        <v>10000</v>
      </c>
      <c r="L221" s="488"/>
      <c r="M221" s="622"/>
    </row>
    <row r="222" spans="1:13" ht="20.100000000000001" customHeight="1">
      <c r="A222" s="163"/>
      <c r="B222" s="170" t="s">
        <v>451</v>
      </c>
      <c r="C222" s="490"/>
      <c r="D222" s="488">
        <v>10000</v>
      </c>
      <c r="E222" s="488">
        <v>10000</v>
      </c>
      <c r="F222" s="470">
        <f t="shared" si="7"/>
        <v>10000</v>
      </c>
      <c r="G222" s="488"/>
      <c r="H222" s="798"/>
      <c r="I222" s="488">
        <v>10000</v>
      </c>
      <c r="J222" s="488">
        <v>10000</v>
      </c>
      <c r="K222" s="488">
        <v>10000</v>
      </c>
      <c r="L222" s="488"/>
      <c r="M222" s="622"/>
    </row>
    <row r="223" spans="1:13" ht="20.100000000000001" customHeight="1">
      <c r="A223" s="163"/>
      <c r="B223" s="170" t="s">
        <v>402</v>
      </c>
      <c r="C223" s="490"/>
      <c r="D223" s="488">
        <v>15000</v>
      </c>
      <c r="E223" s="488">
        <v>10000</v>
      </c>
      <c r="F223" s="470">
        <f t="shared" si="7"/>
        <v>10000</v>
      </c>
      <c r="G223" s="488"/>
      <c r="H223" s="798"/>
      <c r="I223" s="488">
        <v>10000</v>
      </c>
      <c r="J223" s="488">
        <v>10000</v>
      </c>
      <c r="K223" s="488">
        <v>10000</v>
      </c>
      <c r="L223" s="488"/>
      <c r="M223" s="622"/>
    </row>
    <row r="224" spans="1:13" ht="20.100000000000001" customHeight="1">
      <c r="A224" s="163"/>
      <c r="B224" s="170" t="s">
        <v>1332</v>
      </c>
      <c r="C224" s="490"/>
      <c r="D224" s="488">
        <v>15000</v>
      </c>
      <c r="E224" s="488">
        <v>10000</v>
      </c>
      <c r="F224" s="470">
        <f t="shared" si="7"/>
        <v>10000</v>
      </c>
      <c r="G224" s="488"/>
      <c r="H224" s="798"/>
      <c r="I224" s="488">
        <v>10000</v>
      </c>
      <c r="J224" s="488">
        <v>10000</v>
      </c>
      <c r="K224" s="488">
        <v>10000</v>
      </c>
      <c r="L224" s="488"/>
      <c r="M224" s="622"/>
    </row>
    <row r="225" spans="1:15" ht="20.100000000000001" customHeight="1">
      <c r="A225" s="163"/>
      <c r="B225" s="170" t="s">
        <v>704</v>
      </c>
      <c r="C225" s="490"/>
      <c r="D225" s="488">
        <v>25000</v>
      </c>
      <c r="E225" s="488">
        <v>15000</v>
      </c>
      <c r="F225" s="470">
        <f t="shared" si="7"/>
        <v>15000</v>
      </c>
      <c r="G225" s="488"/>
      <c r="H225" s="798"/>
      <c r="I225" s="488">
        <v>20000</v>
      </c>
      <c r="J225" s="488">
        <v>15000</v>
      </c>
      <c r="K225" s="488">
        <v>15000</v>
      </c>
      <c r="L225" s="488"/>
      <c r="M225" s="622"/>
    </row>
    <row r="226" spans="1:15" ht="20.100000000000001" customHeight="1">
      <c r="A226" s="163"/>
      <c r="B226" s="170" t="s">
        <v>705</v>
      </c>
      <c r="C226" s="490"/>
      <c r="D226" s="488">
        <v>15000</v>
      </c>
      <c r="E226" s="488">
        <v>10000</v>
      </c>
      <c r="F226" s="470">
        <f t="shared" si="7"/>
        <v>10000</v>
      </c>
      <c r="G226" s="488"/>
      <c r="H226" s="798"/>
      <c r="I226" s="488">
        <v>15000</v>
      </c>
      <c r="J226" s="488">
        <v>10000</v>
      </c>
      <c r="K226" s="488">
        <v>10000</v>
      </c>
      <c r="L226" s="488"/>
      <c r="M226" s="622"/>
    </row>
    <row r="227" spans="1:15" ht="20.100000000000001" customHeight="1">
      <c r="A227" s="163"/>
      <c r="B227" s="170" t="s">
        <v>904</v>
      </c>
      <c r="C227" s="490"/>
      <c r="D227" s="488">
        <v>150000</v>
      </c>
      <c r="E227" s="1155">
        <v>120000</v>
      </c>
      <c r="F227" s="1156">
        <f t="shared" si="7"/>
        <v>120000</v>
      </c>
      <c r="G227" s="488"/>
      <c r="H227" s="798"/>
      <c r="I227" s="488"/>
      <c r="J227" s="488"/>
      <c r="K227" s="488"/>
      <c r="L227" s="757"/>
      <c r="M227" s="1165"/>
    </row>
    <row r="228" spans="1:15" ht="20.100000000000001" customHeight="1">
      <c r="A228" s="163"/>
      <c r="B228" s="170" t="s">
        <v>906</v>
      </c>
      <c r="C228" s="490"/>
      <c r="D228" s="488">
        <v>25000</v>
      </c>
      <c r="E228" s="1155"/>
      <c r="F228" s="1156"/>
      <c r="G228" s="488"/>
      <c r="H228" s="798"/>
      <c r="I228" s="488"/>
      <c r="J228" s="488"/>
      <c r="K228" s="488"/>
      <c r="L228" s="758"/>
      <c r="M228" s="1183"/>
    </row>
    <row r="229" spans="1:15" ht="20.100000000000001" customHeight="1">
      <c r="A229" s="163"/>
      <c r="B229" s="170" t="s">
        <v>907</v>
      </c>
      <c r="C229" s="490"/>
      <c r="D229" s="488">
        <v>70000</v>
      </c>
      <c r="E229" s="488">
        <v>50000</v>
      </c>
      <c r="F229" s="470">
        <f t="shared" si="7"/>
        <v>50000</v>
      </c>
      <c r="G229" s="488"/>
      <c r="H229" s="798"/>
      <c r="I229" s="488">
        <v>30000</v>
      </c>
      <c r="J229" s="488">
        <v>10000</v>
      </c>
      <c r="K229" s="488">
        <v>10000</v>
      </c>
      <c r="L229" s="488"/>
      <c r="M229" s="634" t="s">
        <v>1333</v>
      </c>
    </row>
    <row r="230" spans="1:15" ht="20.100000000000001" customHeight="1">
      <c r="A230" s="163"/>
      <c r="B230" s="170" t="s">
        <v>908</v>
      </c>
      <c r="C230" s="490"/>
      <c r="D230" s="488">
        <v>9000</v>
      </c>
      <c r="E230" s="488">
        <v>9000</v>
      </c>
      <c r="F230" s="470">
        <f t="shared" si="7"/>
        <v>9000</v>
      </c>
      <c r="G230" s="488"/>
      <c r="H230" s="798"/>
      <c r="I230" s="488"/>
      <c r="J230" s="488"/>
      <c r="K230" s="488"/>
      <c r="L230" s="488"/>
      <c r="M230" s="622"/>
    </row>
    <row r="231" spans="1:15" ht="20.100000000000001" customHeight="1">
      <c r="A231" s="163"/>
      <c r="B231" s="170" t="s">
        <v>909</v>
      </c>
      <c r="C231" s="490"/>
      <c r="D231" s="488">
        <v>9000</v>
      </c>
      <c r="E231" s="488">
        <v>9000</v>
      </c>
      <c r="F231" s="470">
        <v>9000</v>
      </c>
      <c r="G231" s="488"/>
      <c r="H231" s="798"/>
      <c r="I231" s="488">
        <v>10000</v>
      </c>
      <c r="J231" s="488">
        <v>10000</v>
      </c>
      <c r="K231" s="488">
        <v>10000</v>
      </c>
      <c r="L231" s="488"/>
      <c r="M231" s="622"/>
    </row>
    <row r="232" spans="1:15" ht="20.100000000000001" customHeight="1">
      <c r="A232" s="163"/>
      <c r="B232" s="170" t="s">
        <v>1334</v>
      </c>
      <c r="C232" s="490"/>
      <c r="D232" s="488"/>
      <c r="E232" s="488"/>
      <c r="F232" s="470"/>
      <c r="G232" s="488"/>
      <c r="H232" s="798"/>
      <c r="I232" s="488">
        <v>9000</v>
      </c>
      <c r="J232" s="488">
        <v>9000</v>
      </c>
      <c r="K232" s="488">
        <v>9000</v>
      </c>
      <c r="L232" s="488"/>
      <c r="M232" s="622"/>
    </row>
    <row r="233" spans="1:15" ht="20.100000000000001" customHeight="1">
      <c r="A233" s="163"/>
      <c r="B233" s="170" t="s">
        <v>1335</v>
      </c>
      <c r="C233" s="490"/>
      <c r="D233" s="488"/>
      <c r="E233" s="488"/>
      <c r="F233" s="470"/>
      <c r="G233" s="488"/>
      <c r="H233" s="798"/>
      <c r="I233" s="488">
        <v>45000</v>
      </c>
      <c r="J233" s="488"/>
      <c r="K233" s="488"/>
      <c r="L233" s="488"/>
      <c r="M233" s="634" t="s">
        <v>1336</v>
      </c>
    </row>
    <row r="234" spans="1:15" ht="20.100000000000001" customHeight="1">
      <c r="A234" s="163"/>
      <c r="B234" s="170" t="s">
        <v>1337</v>
      </c>
      <c r="C234" s="490"/>
      <c r="D234" s="488"/>
      <c r="E234" s="488"/>
      <c r="F234" s="470"/>
      <c r="G234" s="488"/>
      <c r="H234" s="798"/>
      <c r="I234" s="488">
        <v>200000</v>
      </c>
      <c r="J234" s="488">
        <v>100000</v>
      </c>
      <c r="K234" s="488">
        <v>100000</v>
      </c>
      <c r="L234" s="488"/>
      <c r="M234" s="622" t="s">
        <v>1338</v>
      </c>
    </row>
    <row r="235" spans="1:15" ht="20.100000000000001" customHeight="1">
      <c r="A235" s="176">
        <v>6</v>
      </c>
      <c r="B235" s="785" t="s">
        <v>12</v>
      </c>
      <c r="C235" s="786"/>
      <c r="D235" s="787">
        <f>(D236+D240+D241)</f>
        <v>625966.1</v>
      </c>
      <c r="E235" s="787">
        <f>(E236+E240+E241)</f>
        <v>575966.1</v>
      </c>
      <c r="F235" s="466">
        <f t="shared" si="7"/>
        <v>575966.1</v>
      </c>
      <c r="G235" s="787"/>
      <c r="H235" s="789"/>
      <c r="I235" s="787">
        <f>(I236+I240+I241)</f>
        <v>871086.36</v>
      </c>
      <c r="J235" s="787">
        <f>(J236+J240+J241)</f>
        <v>716086.36</v>
      </c>
      <c r="K235" s="787">
        <f>(K236+K240+K241)</f>
        <v>716086.36</v>
      </c>
      <c r="L235" s="787"/>
      <c r="M235" s="803"/>
      <c r="N235" s="804"/>
      <c r="O235" s="804"/>
    </row>
    <row r="236" spans="1:15" ht="20.100000000000001" customHeight="1">
      <c r="A236" s="171"/>
      <c r="B236" s="169" t="s">
        <v>377</v>
      </c>
      <c r="C236" s="501"/>
      <c r="D236" s="472">
        <f>(D237+D238+D239)</f>
        <v>372435.20999999996</v>
      </c>
      <c r="E236" s="472">
        <f>(E237+E238+E239)</f>
        <v>372435.20999999996</v>
      </c>
      <c r="F236" s="466">
        <f t="shared" si="7"/>
        <v>372435.20999999996</v>
      </c>
      <c r="G236" s="472"/>
      <c r="H236" s="775"/>
      <c r="I236" s="472">
        <f>(I237+I238+I239)</f>
        <v>413828.13</v>
      </c>
      <c r="J236" s="472">
        <f>(J237+J238+J239)</f>
        <v>413828.13</v>
      </c>
      <c r="K236" s="472">
        <f>(K237+K238+K239)</f>
        <v>413828.13</v>
      </c>
      <c r="L236" s="472"/>
      <c r="M236" s="622"/>
    </row>
    <row r="237" spans="1:15" ht="20.100000000000001" customHeight="1">
      <c r="A237" s="173"/>
      <c r="B237" s="170" t="s">
        <v>101</v>
      </c>
      <c r="C237" s="489">
        <f>11.66+0.75+0.3</f>
        <v>12.71</v>
      </c>
      <c r="D237" s="488">
        <f>C237*1390*12</f>
        <v>212002.80000000002</v>
      </c>
      <c r="E237" s="488">
        <f>D237</f>
        <v>212002.80000000002</v>
      </c>
      <c r="F237" s="470">
        <f t="shared" si="7"/>
        <v>212002.80000000002</v>
      </c>
      <c r="G237" s="488"/>
      <c r="H237" s="797">
        <f>12.12+0.75+0.3</f>
        <v>13.17</v>
      </c>
      <c r="I237" s="488">
        <f>H237*1490*12</f>
        <v>235479.59999999998</v>
      </c>
      <c r="J237" s="488">
        <f t="shared" ref="J237:K240" si="8">I237</f>
        <v>235479.59999999998</v>
      </c>
      <c r="K237" s="488">
        <f t="shared" si="8"/>
        <v>235479.59999999998</v>
      </c>
      <c r="L237" s="488"/>
      <c r="M237" s="622"/>
    </row>
    <row r="238" spans="1:15" ht="20.100000000000001" customHeight="1">
      <c r="A238" s="171"/>
      <c r="B238" s="170" t="s">
        <v>791</v>
      </c>
      <c r="C238" s="489">
        <v>6.8259999999999996</v>
      </c>
      <c r="D238" s="488">
        <f>C238*1390*12</f>
        <v>113857.68</v>
      </c>
      <c r="E238" s="488">
        <f>D238</f>
        <v>113857.68</v>
      </c>
      <c r="F238" s="470">
        <f t="shared" si="7"/>
        <v>113857.68</v>
      </c>
      <c r="G238" s="488"/>
      <c r="H238" s="797">
        <v>7.0789999999999997</v>
      </c>
      <c r="I238" s="488">
        <f>H238*1490*12</f>
        <v>126572.51999999999</v>
      </c>
      <c r="J238" s="488">
        <f t="shared" si="8"/>
        <v>126572.51999999999</v>
      </c>
      <c r="K238" s="488">
        <f t="shared" si="8"/>
        <v>126572.51999999999</v>
      </c>
      <c r="L238" s="488"/>
      <c r="M238" s="622"/>
    </row>
    <row r="239" spans="1:15" ht="20.100000000000001" customHeight="1">
      <c r="A239" s="171"/>
      <c r="B239" s="170" t="s">
        <v>175</v>
      </c>
      <c r="C239" s="489">
        <f>(11.66+0.75)*22.5%</f>
        <v>2.7922500000000001</v>
      </c>
      <c r="D239" s="488">
        <f>C239*1390*12</f>
        <v>46574.729999999996</v>
      </c>
      <c r="E239" s="488">
        <f>D239</f>
        <v>46574.729999999996</v>
      </c>
      <c r="F239" s="470">
        <f t="shared" si="7"/>
        <v>46574.729999999996</v>
      </c>
      <c r="G239" s="488"/>
      <c r="H239" s="797">
        <f>(12.12+0.75)*22.5%</f>
        <v>2.89575</v>
      </c>
      <c r="I239" s="488">
        <f>H239*1490*12</f>
        <v>51776.010000000009</v>
      </c>
      <c r="J239" s="488">
        <f t="shared" si="8"/>
        <v>51776.010000000009</v>
      </c>
      <c r="K239" s="488">
        <f t="shared" si="8"/>
        <v>51776.010000000009</v>
      </c>
      <c r="L239" s="488"/>
      <c r="M239" s="622"/>
    </row>
    <row r="240" spans="1:15" ht="20.100000000000001" customHeight="1">
      <c r="A240" s="171"/>
      <c r="B240" s="169" t="s">
        <v>732</v>
      </c>
      <c r="C240" s="492"/>
      <c r="D240" s="491">
        <f>(C237+C239)*1210*12*25/75</f>
        <v>75030.89</v>
      </c>
      <c r="E240" s="491">
        <f>D240</f>
        <v>75030.89</v>
      </c>
      <c r="F240" s="466">
        <f t="shared" si="7"/>
        <v>75030.89</v>
      </c>
      <c r="G240" s="491"/>
      <c r="H240" s="799"/>
      <c r="I240" s="491">
        <f>(H237+H239)*1210*12*25/75</f>
        <v>77758.23000000001</v>
      </c>
      <c r="J240" s="491">
        <f t="shared" si="8"/>
        <v>77758.23000000001</v>
      </c>
      <c r="K240" s="491">
        <f t="shared" si="8"/>
        <v>77758.23000000001</v>
      </c>
      <c r="L240" s="491"/>
      <c r="M240" s="622"/>
    </row>
    <row r="241" spans="1:13" ht="20.100000000000001" customHeight="1">
      <c r="A241" s="171"/>
      <c r="B241" s="169" t="s">
        <v>380</v>
      </c>
      <c r="C241" s="471">
        <f>SUM(C242:C254)</f>
        <v>0</v>
      </c>
      <c r="D241" s="472">
        <f>SUM(D242:D254)</f>
        <v>178500</v>
      </c>
      <c r="E241" s="472">
        <f>SUM(E242:E254)</f>
        <v>128500</v>
      </c>
      <c r="F241" s="466">
        <f t="shared" si="7"/>
        <v>128500</v>
      </c>
      <c r="G241" s="472"/>
      <c r="H241" s="775"/>
      <c r="I241" s="472">
        <f>SUM(I242:I262)</f>
        <v>379500</v>
      </c>
      <c r="J241" s="472">
        <f>SUM(J242:J262)</f>
        <v>224500</v>
      </c>
      <c r="K241" s="472">
        <f>SUM(K242:K262)</f>
        <v>224500</v>
      </c>
      <c r="L241" s="472"/>
      <c r="M241" s="622"/>
    </row>
    <row r="242" spans="1:13" ht="20.100000000000001" customHeight="1">
      <c r="A242" s="173"/>
      <c r="B242" s="170" t="s">
        <v>1339</v>
      </c>
      <c r="C242" s="490"/>
      <c r="D242" s="488">
        <v>13500</v>
      </c>
      <c r="E242" s="488">
        <v>13500</v>
      </c>
      <c r="F242" s="470">
        <f t="shared" si="7"/>
        <v>13500</v>
      </c>
      <c r="G242" s="488"/>
      <c r="H242" s="798"/>
      <c r="I242" s="488">
        <f>6000+5500+5000</f>
        <v>16500</v>
      </c>
      <c r="J242" s="488">
        <v>16500</v>
      </c>
      <c r="K242" s="488">
        <v>16500</v>
      </c>
      <c r="L242" s="488"/>
      <c r="M242" s="622"/>
    </row>
    <row r="243" spans="1:13" ht="20.100000000000001" customHeight="1">
      <c r="A243" s="173"/>
      <c r="B243" s="170" t="s">
        <v>778</v>
      </c>
      <c r="C243" s="490"/>
      <c r="D243" s="488">
        <v>2500</v>
      </c>
      <c r="E243" s="488">
        <v>2500</v>
      </c>
      <c r="F243" s="470">
        <f t="shared" si="7"/>
        <v>2500</v>
      </c>
      <c r="G243" s="488"/>
      <c r="H243" s="798"/>
      <c r="I243" s="488">
        <v>2500</v>
      </c>
      <c r="J243" s="488">
        <v>2500</v>
      </c>
      <c r="K243" s="488">
        <v>2500</v>
      </c>
      <c r="L243" s="488"/>
      <c r="M243" s="622"/>
    </row>
    <row r="244" spans="1:13" ht="20.100000000000001" customHeight="1">
      <c r="A244" s="173"/>
      <c r="B244" s="170" t="s">
        <v>1340</v>
      </c>
      <c r="C244" s="490"/>
      <c r="D244" s="488">
        <v>4500</v>
      </c>
      <c r="E244" s="488">
        <v>4500</v>
      </c>
      <c r="F244" s="470">
        <f t="shared" si="7"/>
        <v>4500</v>
      </c>
      <c r="G244" s="488"/>
      <c r="H244" s="798"/>
      <c r="I244" s="488">
        <f>3*500*5</f>
        <v>7500</v>
      </c>
      <c r="J244" s="488">
        <f>3*500*5</f>
        <v>7500</v>
      </c>
      <c r="K244" s="488">
        <f>3*500*5</f>
        <v>7500</v>
      </c>
      <c r="L244" s="488"/>
      <c r="M244" s="622"/>
    </row>
    <row r="245" spans="1:13" ht="20.100000000000001" customHeight="1">
      <c r="A245" s="173"/>
      <c r="B245" s="170" t="s">
        <v>722</v>
      </c>
      <c r="C245" s="490"/>
      <c r="D245" s="488">
        <v>6000</v>
      </c>
      <c r="E245" s="488">
        <v>6000</v>
      </c>
      <c r="F245" s="470">
        <f t="shared" si="7"/>
        <v>6000</v>
      </c>
      <c r="G245" s="488"/>
      <c r="H245" s="798"/>
      <c r="I245" s="488">
        <v>6000</v>
      </c>
      <c r="J245" s="488">
        <v>6000</v>
      </c>
      <c r="K245" s="488">
        <v>6000</v>
      </c>
      <c r="L245" s="488"/>
      <c r="M245" s="622"/>
    </row>
    <row r="246" spans="1:13" ht="20.100000000000001" customHeight="1">
      <c r="A246" s="173"/>
      <c r="B246" s="170" t="s">
        <v>746</v>
      </c>
      <c r="C246" s="490"/>
      <c r="D246" s="488">
        <v>12000</v>
      </c>
      <c r="E246" s="488">
        <v>12000</v>
      </c>
      <c r="F246" s="470">
        <f t="shared" si="7"/>
        <v>12000</v>
      </c>
      <c r="G246" s="488"/>
      <c r="H246" s="798"/>
      <c r="I246" s="488">
        <v>12000</v>
      </c>
      <c r="J246" s="488">
        <v>12000</v>
      </c>
      <c r="K246" s="488">
        <v>12000</v>
      </c>
      <c r="L246" s="488"/>
      <c r="M246" s="622"/>
    </row>
    <row r="247" spans="1:13" ht="20.100000000000001" customHeight="1">
      <c r="A247" s="173"/>
      <c r="B247" s="170" t="s">
        <v>715</v>
      </c>
      <c r="C247" s="490"/>
      <c r="D247" s="488">
        <v>10000</v>
      </c>
      <c r="E247" s="488">
        <v>10000</v>
      </c>
      <c r="F247" s="470">
        <f t="shared" si="7"/>
        <v>10000</v>
      </c>
      <c r="G247" s="488"/>
      <c r="H247" s="798"/>
      <c r="I247" s="488">
        <v>10000</v>
      </c>
      <c r="J247" s="488">
        <v>10000</v>
      </c>
      <c r="K247" s="488">
        <v>10000</v>
      </c>
      <c r="L247" s="488"/>
      <c r="M247" s="622"/>
    </row>
    <row r="248" spans="1:13" ht="20.100000000000001" customHeight="1">
      <c r="A248" s="173"/>
      <c r="B248" s="170" t="s">
        <v>1341</v>
      </c>
      <c r="C248" s="490"/>
      <c r="D248" s="488"/>
      <c r="E248" s="488"/>
      <c r="F248" s="470"/>
      <c r="G248" s="488"/>
      <c r="H248" s="798"/>
      <c r="I248" s="488">
        <v>5000</v>
      </c>
      <c r="J248" s="488"/>
      <c r="K248" s="488"/>
      <c r="L248" s="488"/>
      <c r="M248" s="624" t="s">
        <v>1342</v>
      </c>
    </row>
    <row r="249" spans="1:13" ht="20.100000000000001" customHeight="1">
      <c r="A249" s="173"/>
      <c r="B249" s="247" t="s">
        <v>910</v>
      </c>
      <c r="C249" s="490"/>
      <c r="D249" s="488">
        <v>20000</v>
      </c>
      <c r="E249" s="488">
        <v>10000</v>
      </c>
      <c r="F249" s="470">
        <f t="shared" si="7"/>
        <v>10000</v>
      </c>
      <c r="G249" s="488"/>
      <c r="H249" s="798"/>
      <c r="I249" s="488">
        <v>10000</v>
      </c>
      <c r="J249" s="488">
        <v>10000</v>
      </c>
      <c r="K249" s="488">
        <v>10000</v>
      </c>
      <c r="L249" s="488"/>
      <c r="M249" s="622"/>
    </row>
    <row r="250" spans="1:13" ht="20.100000000000001" customHeight="1">
      <c r="A250" s="173"/>
      <c r="B250" s="170" t="s">
        <v>911</v>
      </c>
      <c r="C250" s="490"/>
      <c r="D250" s="488">
        <v>15000</v>
      </c>
      <c r="E250" s="488">
        <v>10000</v>
      </c>
      <c r="F250" s="470">
        <f t="shared" si="7"/>
        <v>10000</v>
      </c>
      <c r="G250" s="488"/>
      <c r="H250" s="798"/>
      <c r="I250" s="488">
        <v>15000</v>
      </c>
      <c r="J250" s="488">
        <v>10000</v>
      </c>
      <c r="K250" s="488">
        <v>10000</v>
      </c>
      <c r="L250" s="488"/>
      <c r="M250" s="622"/>
    </row>
    <row r="251" spans="1:13" ht="20.100000000000001" customHeight="1">
      <c r="A251" s="173"/>
      <c r="B251" s="170" t="s">
        <v>1343</v>
      </c>
      <c r="C251" s="490"/>
      <c r="D251" s="488">
        <v>20000</v>
      </c>
      <c r="E251" s="488">
        <v>10000</v>
      </c>
      <c r="F251" s="470">
        <f t="shared" si="7"/>
        <v>10000</v>
      </c>
      <c r="G251" s="488"/>
      <c r="H251" s="798"/>
      <c r="I251" s="488">
        <v>20000</v>
      </c>
      <c r="J251" s="488">
        <v>10000</v>
      </c>
      <c r="K251" s="488">
        <v>10000</v>
      </c>
      <c r="L251" s="488"/>
      <c r="M251" s="622"/>
    </row>
    <row r="252" spans="1:13" ht="20.100000000000001" customHeight="1">
      <c r="A252" s="173"/>
      <c r="B252" s="170" t="s">
        <v>913</v>
      </c>
      <c r="C252" s="490"/>
      <c r="D252" s="488">
        <v>30000</v>
      </c>
      <c r="E252" s="488">
        <v>20000</v>
      </c>
      <c r="F252" s="470">
        <f t="shared" si="7"/>
        <v>20000</v>
      </c>
      <c r="G252" s="488"/>
      <c r="H252" s="798"/>
      <c r="I252" s="488">
        <v>30000</v>
      </c>
      <c r="J252" s="488">
        <v>20000</v>
      </c>
      <c r="K252" s="488">
        <v>20000</v>
      </c>
      <c r="L252" s="488"/>
      <c r="M252" s="622"/>
    </row>
    <row r="253" spans="1:13" ht="20.100000000000001" customHeight="1">
      <c r="A253" s="173"/>
      <c r="B253" s="170" t="s">
        <v>914</v>
      </c>
      <c r="C253" s="490"/>
      <c r="D253" s="488">
        <v>30000</v>
      </c>
      <c r="E253" s="488">
        <v>20000</v>
      </c>
      <c r="F253" s="470">
        <f t="shared" si="7"/>
        <v>20000</v>
      </c>
      <c r="G253" s="488"/>
      <c r="H253" s="798"/>
      <c r="I253" s="488">
        <v>30000</v>
      </c>
      <c r="J253" s="488">
        <v>20000</v>
      </c>
      <c r="K253" s="488">
        <v>20000</v>
      </c>
      <c r="L253" s="488"/>
      <c r="M253" s="622"/>
    </row>
    <row r="254" spans="1:13" ht="20.100000000000001" customHeight="1">
      <c r="A254" s="173"/>
      <c r="B254" s="170" t="s">
        <v>915</v>
      </c>
      <c r="C254" s="490"/>
      <c r="D254" s="488">
        <v>15000</v>
      </c>
      <c r="E254" s="488">
        <v>10000</v>
      </c>
      <c r="F254" s="470">
        <f t="shared" si="7"/>
        <v>10000</v>
      </c>
      <c r="G254" s="488"/>
      <c r="H254" s="798"/>
      <c r="I254" s="488"/>
      <c r="J254" s="488"/>
      <c r="K254" s="488"/>
      <c r="L254" s="488"/>
      <c r="M254" s="624"/>
    </row>
    <row r="255" spans="1:13" ht="20.100000000000001" customHeight="1">
      <c r="A255" s="173"/>
      <c r="B255" s="170" t="s">
        <v>1344</v>
      </c>
      <c r="C255" s="490"/>
      <c r="D255" s="488"/>
      <c r="E255" s="488"/>
      <c r="F255" s="470"/>
      <c r="G255" s="488"/>
      <c r="H255" s="798"/>
      <c r="I255" s="488">
        <v>25000</v>
      </c>
      <c r="J255" s="488">
        <v>20000</v>
      </c>
      <c r="K255" s="488">
        <v>20000</v>
      </c>
      <c r="L255" s="488"/>
      <c r="M255" s="624"/>
    </row>
    <row r="256" spans="1:13" ht="20.100000000000001" customHeight="1">
      <c r="A256" s="173"/>
      <c r="B256" s="170" t="s">
        <v>1345</v>
      </c>
      <c r="C256" s="490"/>
      <c r="D256" s="488"/>
      <c r="E256" s="488"/>
      <c r="F256" s="470"/>
      <c r="G256" s="488"/>
      <c r="H256" s="798"/>
      <c r="I256" s="488">
        <v>80000</v>
      </c>
      <c r="J256" s="488">
        <v>50000</v>
      </c>
      <c r="K256" s="488">
        <v>50000</v>
      </c>
      <c r="L256" s="488"/>
      <c r="M256" s="624"/>
    </row>
    <row r="257" spans="1:13" ht="20.100000000000001" customHeight="1">
      <c r="A257" s="173"/>
      <c r="B257" s="170" t="s">
        <v>1346</v>
      </c>
      <c r="C257" s="490"/>
      <c r="D257" s="488"/>
      <c r="E257" s="488"/>
      <c r="F257" s="470"/>
      <c r="G257" s="488"/>
      <c r="H257" s="798"/>
      <c r="I257" s="488">
        <v>30000</v>
      </c>
      <c r="J257" s="488"/>
      <c r="K257" s="488"/>
      <c r="L257" s="488"/>
      <c r="M257" s="761" t="s">
        <v>1347</v>
      </c>
    </row>
    <row r="258" spans="1:13" ht="20.100000000000001" customHeight="1">
      <c r="A258" s="173"/>
      <c r="B258" s="170" t="s">
        <v>1348</v>
      </c>
      <c r="C258" s="490"/>
      <c r="D258" s="488"/>
      <c r="E258" s="488"/>
      <c r="F258" s="470"/>
      <c r="G258" s="488"/>
      <c r="H258" s="798"/>
      <c r="I258" s="488">
        <v>10000</v>
      </c>
      <c r="J258" s="488">
        <v>10000</v>
      </c>
      <c r="K258" s="488">
        <v>10000</v>
      </c>
      <c r="L258" s="488"/>
      <c r="M258" s="761"/>
    </row>
    <row r="259" spans="1:13" ht="20.100000000000001" customHeight="1">
      <c r="A259" s="173"/>
      <c r="B259" s="170" t="s">
        <v>1349</v>
      </c>
      <c r="C259" s="490"/>
      <c r="D259" s="488"/>
      <c r="E259" s="488"/>
      <c r="F259" s="470"/>
      <c r="G259" s="488"/>
      <c r="H259" s="798"/>
      <c r="I259" s="488">
        <v>20000</v>
      </c>
      <c r="J259" s="488"/>
      <c r="K259" s="488"/>
      <c r="L259" s="488"/>
      <c r="M259" s="761" t="s">
        <v>944</v>
      </c>
    </row>
    <row r="260" spans="1:13" ht="20.100000000000001" customHeight="1">
      <c r="A260" s="173"/>
      <c r="B260" s="170" t="s">
        <v>1350</v>
      </c>
      <c r="C260" s="490"/>
      <c r="D260" s="488"/>
      <c r="E260" s="488"/>
      <c r="F260" s="470"/>
      <c r="G260" s="488"/>
      <c r="H260" s="798"/>
      <c r="I260" s="488">
        <v>20000</v>
      </c>
      <c r="J260" s="488"/>
      <c r="K260" s="488"/>
      <c r="L260" s="488"/>
      <c r="M260" s="761" t="s">
        <v>1351</v>
      </c>
    </row>
    <row r="261" spans="1:13" ht="20.100000000000001" customHeight="1">
      <c r="A261" s="173"/>
      <c r="B261" s="170" t="s">
        <v>1352</v>
      </c>
      <c r="C261" s="490"/>
      <c r="D261" s="488"/>
      <c r="E261" s="488"/>
      <c r="F261" s="470"/>
      <c r="G261" s="488"/>
      <c r="H261" s="798"/>
      <c r="I261" s="488">
        <v>20000</v>
      </c>
      <c r="J261" s="1153">
        <v>20000</v>
      </c>
      <c r="K261" s="1153">
        <v>20000</v>
      </c>
      <c r="L261" s="757"/>
      <c r="M261" s="1165" t="s">
        <v>1353</v>
      </c>
    </row>
    <row r="262" spans="1:13" ht="20.100000000000001" customHeight="1">
      <c r="A262" s="173"/>
      <c r="B262" s="170" t="s">
        <v>1354</v>
      </c>
      <c r="C262" s="490"/>
      <c r="D262" s="488"/>
      <c r="E262" s="488"/>
      <c r="F262" s="470"/>
      <c r="G262" s="488"/>
      <c r="H262" s="798"/>
      <c r="I262" s="488">
        <v>10000</v>
      </c>
      <c r="J262" s="1154"/>
      <c r="K262" s="1154"/>
      <c r="L262" s="758"/>
      <c r="M262" s="1166"/>
    </row>
    <row r="263" spans="1:13" ht="20.100000000000001" customHeight="1">
      <c r="A263" s="805">
        <v>7</v>
      </c>
      <c r="B263" s="785" t="s">
        <v>259</v>
      </c>
      <c r="C263" s="471"/>
      <c r="D263" s="472">
        <f>(D264+D268+D269)</f>
        <v>449064.16000000003</v>
      </c>
      <c r="E263" s="472">
        <f>(E264+E268+E269)</f>
        <v>434064.16000000003</v>
      </c>
      <c r="F263" s="466">
        <f t="shared" si="7"/>
        <v>434064.16000000003</v>
      </c>
      <c r="G263" s="472"/>
      <c r="H263" s="775"/>
      <c r="I263" s="472">
        <f>(I264+I268+I269)</f>
        <v>631362.12</v>
      </c>
      <c r="J263" s="472">
        <f>(J264+J268+J269)</f>
        <v>622862.12</v>
      </c>
      <c r="K263" s="472">
        <f>(K264+K268+K269)</f>
        <v>622862.12</v>
      </c>
      <c r="L263" s="472"/>
      <c r="M263" s="622"/>
    </row>
    <row r="264" spans="1:13" ht="20.100000000000001" customHeight="1">
      <c r="A264" s="171"/>
      <c r="B264" s="169" t="s">
        <v>377</v>
      </c>
      <c r="C264" s="471"/>
      <c r="D264" s="472">
        <f>(D265+D266+D267)</f>
        <v>295448.67000000004</v>
      </c>
      <c r="E264" s="472">
        <f>(E265+E266+E267)</f>
        <v>295448.67000000004</v>
      </c>
      <c r="F264" s="466">
        <f t="shared" si="7"/>
        <v>295448.67000000004</v>
      </c>
      <c r="G264" s="472"/>
      <c r="H264" s="775"/>
      <c r="I264" s="472">
        <f>(I265+I266+I267)</f>
        <v>348758.34</v>
      </c>
      <c r="J264" s="472">
        <f>(J265+J266+J267)</f>
        <v>348758.34</v>
      </c>
      <c r="K264" s="472">
        <f>(K265+K266+K267)</f>
        <v>348758.34</v>
      </c>
      <c r="L264" s="472"/>
      <c r="M264" s="622"/>
    </row>
    <row r="265" spans="1:13" ht="20.100000000000001" customHeight="1">
      <c r="A265" s="171"/>
      <c r="B265" s="170" t="s">
        <v>183</v>
      </c>
      <c r="C265" s="489">
        <f>9.31+0.5+0.3</f>
        <v>10.110000000000001</v>
      </c>
      <c r="D265" s="488">
        <f>C265*1390*12</f>
        <v>168634.80000000002</v>
      </c>
      <c r="E265" s="488">
        <f>D265</f>
        <v>168634.80000000002</v>
      </c>
      <c r="F265" s="470">
        <f t="shared" si="7"/>
        <v>168634.80000000002</v>
      </c>
      <c r="G265" s="488"/>
      <c r="H265" s="797">
        <f>10.32+0.5+0.3</f>
        <v>11.120000000000001</v>
      </c>
      <c r="I265" s="488">
        <f>H265*1490*12</f>
        <v>198825.60000000003</v>
      </c>
      <c r="J265" s="488">
        <f t="shared" ref="J265:K268" si="9">I265</f>
        <v>198825.60000000003</v>
      </c>
      <c r="K265" s="488">
        <f t="shared" si="9"/>
        <v>198825.60000000003</v>
      </c>
      <c r="L265" s="488"/>
      <c r="M265" s="622"/>
    </row>
    <row r="266" spans="1:13" ht="20.100000000000001" customHeight="1">
      <c r="A266" s="171"/>
      <c r="B266" s="170" t="s">
        <v>13</v>
      </c>
      <c r="C266" s="489">
        <f>2.4525+2.943</f>
        <v>5.3955000000000002</v>
      </c>
      <c r="D266" s="488">
        <f>C266*1390*12</f>
        <v>89996.94</v>
      </c>
      <c r="E266" s="488">
        <f>D266</f>
        <v>89996.94</v>
      </c>
      <c r="F266" s="470">
        <f t="shared" si="7"/>
        <v>89996.94</v>
      </c>
      <c r="G266" s="488"/>
      <c r="H266" s="797">
        <v>5.9509999999999996</v>
      </c>
      <c r="I266" s="488">
        <f>H266*1490*12</f>
        <v>106403.88</v>
      </c>
      <c r="J266" s="488">
        <f t="shared" si="9"/>
        <v>106403.88</v>
      </c>
      <c r="K266" s="488">
        <f t="shared" si="9"/>
        <v>106403.88</v>
      </c>
      <c r="L266" s="488"/>
      <c r="M266" s="622"/>
    </row>
    <row r="267" spans="1:13" ht="20.100000000000001" customHeight="1">
      <c r="A267" s="171"/>
      <c r="B267" s="170" t="s">
        <v>733</v>
      </c>
      <c r="C267" s="489">
        <f>(9.31+0.5)*22.5%</f>
        <v>2.2072500000000002</v>
      </c>
      <c r="D267" s="488">
        <f>C267*1390*12</f>
        <v>36816.930000000008</v>
      </c>
      <c r="E267" s="488">
        <f>D267</f>
        <v>36816.930000000008</v>
      </c>
      <c r="F267" s="470">
        <f t="shared" si="7"/>
        <v>36816.930000000008</v>
      </c>
      <c r="G267" s="488"/>
      <c r="H267" s="797">
        <f>(10.32+0.5)*22.5%</f>
        <v>2.4345000000000003</v>
      </c>
      <c r="I267" s="488">
        <f>H267*1490*12</f>
        <v>43528.860000000008</v>
      </c>
      <c r="J267" s="488">
        <f t="shared" si="9"/>
        <v>43528.860000000008</v>
      </c>
      <c r="K267" s="488">
        <f t="shared" si="9"/>
        <v>43528.860000000008</v>
      </c>
      <c r="L267" s="488"/>
      <c r="M267" s="622"/>
    </row>
    <row r="268" spans="1:13" ht="20.100000000000001" customHeight="1">
      <c r="A268" s="171"/>
      <c r="B268" s="169" t="s">
        <v>732</v>
      </c>
      <c r="C268" s="492"/>
      <c r="D268" s="491">
        <f>(C265+C267)*1210*25/75*12</f>
        <v>59615.490000000005</v>
      </c>
      <c r="E268" s="491">
        <f>D268</f>
        <v>59615.490000000005</v>
      </c>
      <c r="F268" s="466">
        <f t="shared" si="7"/>
        <v>59615.490000000005</v>
      </c>
      <c r="G268" s="491"/>
      <c r="H268" s="799"/>
      <c r="I268" s="491">
        <f>(H265+H267)*1210*25/75*12</f>
        <v>65603.78</v>
      </c>
      <c r="J268" s="491">
        <f t="shared" si="9"/>
        <v>65603.78</v>
      </c>
      <c r="K268" s="491">
        <f t="shared" si="9"/>
        <v>65603.78</v>
      </c>
      <c r="L268" s="491"/>
      <c r="M268" s="622"/>
    </row>
    <row r="269" spans="1:13" ht="20.100000000000001" customHeight="1">
      <c r="A269" s="171"/>
      <c r="B269" s="169" t="s">
        <v>380</v>
      </c>
      <c r="C269" s="471"/>
      <c r="D269" s="472">
        <f>SUM(D270:D278)</f>
        <v>94000</v>
      </c>
      <c r="E269" s="472">
        <f>SUM(E270:E278)</f>
        <v>79000</v>
      </c>
      <c r="F269" s="466">
        <f t="shared" si="7"/>
        <v>79000</v>
      </c>
      <c r="G269" s="472"/>
      <c r="H269" s="775"/>
      <c r="I269" s="472">
        <f>SUM(I270:I283)</f>
        <v>217000</v>
      </c>
      <c r="J269" s="472">
        <f>SUM(J270:J283)</f>
        <v>208500</v>
      </c>
      <c r="K269" s="472">
        <f>SUM(K270:K283)</f>
        <v>208500</v>
      </c>
      <c r="L269" s="472"/>
      <c r="M269" s="622"/>
    </row>
    <row r="270" spans="1:13" ht="20.100000000000001" customHeight="1">
      <c r="A270" s="173"/>
      <c r="B270" s="170" t="s">
        <v>1355</v>
      </c>
      <c r="C270" s="490"/>
      <c r="D270" s="488">
        <v>13500</v>
      </c>
      <c r="E270" s="488">
        <f>D270</f>
        <v>13500</v>
      </c>
      <c r="F270" s="470">
        <f t="shared" si="7"/>
        <v>13500</v>
      </c>
      <c r="G270" s="488"/>
      <c r="H270" s="798"/>
      <c r="I270" s="488">
        <f>6000+5500+5000</f>
        <v>16500</v>
      </c>
      <c r="J270" s="488">
        <v>16500</v>
      </c>
      <c r="K270" s="488">
        <v>16500</v>
      </c>
      <c r="L270" s="488"/>
      <c r="M270" s="622"/>
    </row>
    <row r="271" spans="1:13" ht="20.100000000000001" customHeight="1">
      <c r="A271" s="173"/>
      <c r="B271" s="170" t="s">
        <v>14</v>
      </c>
      <c r="C271" s="490"/>
      <c r="D271" s="488">
        <v>3000</v>
      </c>
      <c r="E271" s="488">
        <f>D271</f>
        <v>3000</v>
      </c>
      <c r="F271" s="470">
        <f t="shared" si="7"/>
        <v>3000</v>
      </c>
      <c r="G271" s="488"/>
      <c r="H271" s="798"/>
      <c r="I271" s="488">
        <v>3000</v>
      </c>
      <c r="J271" s="488">
        <v>3000</v>
      </c>
      <c r="K271" s="488">
        <v>3000</v>
      </c>
      <c r="L271" s="488"/>
      <c r="M271" s="622"/>
    </row>
    <row r="272" spans="1:13" ht="20.100000000000001" customHeight="1">
      <c r="A272" s="173"/>
      <c r="B272" s="170" t="s">
        <v>1328</v>
      </c>
      <c r="C272" s="490"/>
      <c r="D272" s="488">
        <v>4500</v>
      </c>
      <c r="E272" s="488">
        <f>D272</f>
        <v>4500</v>
      </c>
      <c r="F272" s="470">
        <f t="shared" si="7"/>
        <v>4500</v>
      </c>
      <c r="G272" s="488"/>
      <c r="H272" s="798"/>
      <c r="I272" s="488">
        <f>3*500*5</f>
        <v>7500</v>
      </c>
      <c r="J272" s="488">
        <v>5000</v>
      </c>
      <c r="K272" s="488">
        <v>5000</v>
      </c>
      <c r="L272" s="488"/>
      <c r="M272" s="622"/>
    </row>
    <row r="273" spans="1:13" ht="20.100000000000001" customHeight="1">
      <c r="A273" s="173"/>
      <c r="B273" s="170" t="s">
        <v>916</v>
      </c>
      <c r="C273" s="490"/>
      <c r="D273" s="488">
        <v>12000</v>
      </c>
      <c r="E273" s="488">
        <f>D273</f>
        <v>12000</v>
      </c>
      <c r="F273" s="470">
        <f t="shared" si="7"/>
        <v>12000</v>
      </c>
      <c r="G273" s="488"/>
      <c r="H273" s="798"/>
      <c r="I273" s="488">
        <v>12000</v>
      </c>
      <c r="J273" s="488">
        <v>12000</v>
      </c>
      <c r="K273" s="488">
        <v>12000</v>
      </c>
      <c r="L273" s="488"/>
      <c r="M273" s="622"/>
    </row>
    <row r="274" spans="1:13" ht="20.100000000000001" customHeight="1">
      <c r="A274" s="173"/>
      <c r="B274" s="170" t="s">
        <v>312</v>
      </c>
      <c r="C274" s="490"/>
      <c r="D274" s="488">
        <v>6000</v>
      </c>
      <c r="E274" s="488">
        <f>D274</f>
        <v>6000</v>
      </c>
      <c r="F274" s="470">
        <f t="shared" si="7"/>
        <v>6000</v>
      </c>
      <c r="G274" s="488"/>
      <c r="H274" s="798"/>
      <c r="I274" s="488">
        <v>6000</v>
      </c>
      <c r="J274" s="488">
        <v>4000</v>
      </c>
      <c r="K274" s="488">
        <v>4000</v>
      </c>
      <c r="L274" s="488"/>
      <c r="M274" s="622"/>
    </row>
    <row r="275" spans="1:13" ht="20.100000000000001" customHeight="1">
      <c r="A275" s="173"/>
      <c r="B275" s="170" t="s">
        <v>184</v>
      </c>
      <c r="C275" s="490"/>
      <c r="D275" s="488">
        <v>10000</v>
      </c>
      <c r="E275" s="488">
        <v>10000</v>
      </c>
      <c r="F275" s="470">
        <f t="shared" si="7"/>
        <v>10000</v>
      </c>
      <c r="G275" s="488"/>
      <c r="H275" s="798"/>
      <c r="I275" s="488">
        <v>10000</v>
      </c>
      <c r="J275" s="488">
        <v>10000</v>
      </c>
      <c r="K275" s="488">
        <v>10000</v>
      </c>
      <c r="L275" s="488"/>
      <c r="M275" s="622"/>
    </row>
    <row r="276" spans="1:13" ht="20.100000000000001" customHeight="1">
      <c r="A276" s="173"/>
      <c r="B276" s="170" t="s">
        <v>1356</v>
      </c>
      <c r="C276" s="490"/>
      <c r="D276" s="488"/>
      <c r="E276" s="488"/>
      <c r="F276" s="470"/>
      <c r="G276" s="488"/>
      <c r="H276" s="798"/>
      <c r="I276" s="488">
        <v>20000</v>
      </c>
      <c r="J276" s="488"/>
      <c r="K276" s="488"/>
      <c r="L276" s="488"/>
      <c r="M276" s="622"/>
    </row>
    <row r="277" spans="1:13" ht="20.100000000000001" customHeight="1">
      <c r="A277" s="173"/>
      <c r="B277" s="170" t="s">
        <v>917</v>
      </c>
      <c r="C277" s="490"/>
      <c r="D277" s="488">
        <v>15000</v>
      </c>
      <c r="E277" s="488">
        <v>10000</v>
      </c>
      <c r="F277" s="470">
        <f t="shared" si="7"/>
        <v>10000</v>
      </c>
      <c r="G277" s="488"/>
      <c r="H277" s="798"/>
      <c r="I277" s="488">
        <v>15000</v>
      </c>
      <c r="J277" s="488">
        <v>10000</v>
      </c>
      <c r="K277" s="488">
        <v>10000</v>
      </c>
      <c r="L277" s="488"/>
      <c r="M277" s="622"/>
    </row>
    <row r="278" spans="1:13" ht="20.100000000000001" customHeight="1">
      <c r="A278" s="173"/>
      <c r="B278" s="170" t="s">
        <v>1357</v>
      </c>
      <c r="C278" s="490"/>
      <c r="D278" s="488">
        <v>30000</v>
      </c>
      <c r="E278" s="488">
        <v>20000</v>
      </c>
      <c r="F278" s="470">
        <f t="shared" si="7"/>
        <v>20000</v>
      </c>
      <c r="G278" s="488"/>
      <c r="H278" s="798"/>
      <c r="I278" s="488">
        <v>15000</v>
      </c>
      <c r="J278" s="488">
        <v>15000</v>
      </c>
      <c r="K278" s="488">
        <v>15000</v>
      </c>
      <c r="L278" s="488"/>
      <c r="M278" s="761" t="s">
        <v>1186</v>
      </c>
    </row>
    <row r="279" spans="1:13" ht="20.100000000000001" customHeight="1">
      <c r="A279" s="173"/>
      <c r="B279" s="170" t="s">
        <v>1358</v>
      </c>
      <c r="C279" s="490"/>
      <c r="D279" s="488"/>
      <c r="E279" s="488"/>
      <c r="F279" s="470"/>
      <c r="G279" s="488"/>
      <c r="H279" s="798"/>
      <c r="I279" s="488">
        <v>13000</v>
      </c>
      <c r="J279" s="488">
        <v>13000</v>
      </c>
      <c r="K279" s="488">
        <v>13000</v>
      </c>
      <c r="L279" s="488"/>
      <c r="M279" s="761"/>
    </row>
    <row r="280" spans="1:13" ht="20.100000000000001" customHeight="1">
      <c r="A280" s="173"/>
      <c r="B280" s="170" t="s">
        <v>1359</v>
      </c>
      <c r="C280" s="490"/>
      <c r="D280" s="488"/>
      <c r="E280" s="488"/>
      <c r="F280" s="470"/>
      <c r="G280" s="488"/>
      <c r="H280" s="798"/>
      <c r="I280" s="488">
        <v>19000</v>
      </c>
      <c r="J280" s="488"/>
      <c r="K280" s="488"/>
      <c r="L280" s="488"/>
      <c r="M280" s="761" t="s">
        <v>1360</v>
      </c>
    </row>
    <row r="281" spans="1:13" ht="33" customHeight="1">
      <c r="A281" s="173"/>
      <c r="B281" s="170" t="s">
        <v>1361</v>
      </c>
      <c r="C281" s="490"/>
      <c r="D281" s="488"/>
      <c r="E281" s="488"/>
      <c r="F281" s="470"/>
      <c r="G281" s="488"/>
      <c r="H281" s="798"/>
      <c r="I281" s="488">
        <v>20000</v>
      </c>
      <c r="J281" s="488">
        <v>20000</v>
      </c>
      <c r="K281" s="488">
        <v>20000</v>
      </c>
      <c r="L281" s="757"/>
      <c r="M281" s="1165" t="s">
        <v>1353</v>
      </c>
    </row>
    <row r="282" spans="1:13" ht="20.100000000000001" customHeight="1">
      <c r="A282" s="173"/>
      <c r="B282" s="170"/>
      <c r="C282" s="490"/>
      <c r="D282" s="488"/>
      <c r="E282" s="488"/>
      <c r="F282" s="470"/>
      <c r="G282" s="488"/>
      <c r="H282" s="798"/>
      <c r="I282" s="488">
        <v>10000</v>
      </c>
      <c r="J282" s="488">
        <v>50000</v>
      </c>
      <c r="K282" s="488">
        <v>50000</v>
      </c>
      <c r="L282" s="758"/>
      <c r="M282" s="1166"/>
    </row>
    <row r="283" spans="1:13" ht="20.100000000000001" customHeight="1">
      <c r="A283" s="173"/>
      <c r="B283" s="170" t="s">
        <v>1362</v>
      </c>
      <c r="C283" s="490"/>
      <c r="D283" s="488"/>
      <c r="E283" s="488"/>
      <c r="F283" s="470"/>
      <c r="G283" s="488"/>
      <c r="H283" s="798"/>
      <c r="I283" s="488">
        <v>50000</v>
      </c>
      <c r="J283" s="488">
        <v>50000</v>
      </c>
      <c r="K283" s="488">
        <v>50000</v>
      </c>
      <c r="L283" s="488"/>
      <c r="M283" s="761"/>
    </row>
    <row r="284" spans="1:13" ht="20.100000000000001" customHeight="1">
      <c r="A284" s="176">
        <v>8</v>
      </c>
      <c r="B284" s="785" t="s">
        <v>15</v>
      </c>
      <c r="C284" s="471"/>
      <c r="D284" s="472">
        <f>(D285+D289+D290)</f>
        <v>471633.73199999996</v>
      </c>
      <c r="E284" s="472">
        <f>(E285+E289+E290)</f>
        <v>436633.73199999996</v>
      </c>
      <c r="F284" s="466">
        <f t="shared" si="7"/>
        <v>436633.73199999996</v>
      </c>
      <c r="G284" s="472"/>
      <c r="H284" s="775"/>
      <c r="I284" s="472">
        <f>(I285+I289+I290)</f>
        <v>436899.19199999998</v>
      </c>
      <c r="J284" s="472">
        <f>(J285+J289+J290)</f>
        <v>436899.19199999998</v>
      </c>
      <c r="K284" s="472">
        <f>(K285+K289+K290)</f>
        <v>436899.19199999998</v>
      </c>
      <c r="L284" s="472"/>
      <c r="M284" s="622"/>
    </row>
    <row r="285" spans="1:13" ht="20.100000000000001" customHeight="1">
      <c r="A285" s="171"/>
      <c r="B285" s="169" t="s">
        <v>377</v>
      </c>
      <c r="C285" s="496"/>
      <c r="D285" s="472">
        <f>(D286+D287+D288)</f>
        <v>267665.62799999997</v>
      </c>
      <c r="E285" s="472">
        <f>(E286+E287+E288)</f>
        <v>267665.62799999997</v>
      </c>
      <c r="F285" s="466">
        <f t="shared" si="7"/>
        <v>267665.62799999997</v>
      </c>
      <c r="G285" s="472"/>
      <c r="H285" s="775"/>
      <c r="I285" s="472">
        <f>(I286+I287+I288)</f>
        <v>286931.08799999999</v>
      </c>
      <c r="J285" s="472">
        <f>(J286+J287+J288)</f>
        <v>286931.08799999999</v>
      </c>
      <c r="K285" s="472">
        <f>(K286+K287+K288)</f>
        <v>286931.08799999999</v>
      </c>
      <c r="L285" s="472"/>
      <c r="M285" s="622"/>
    </row>
    <row r="286" spans="1:13" ht="20.100000000000001" customHeight="1">
      <c r="A286" s="171"/>
      <c r="B286" s="170" t="s">
        <v>101</v>
      </c>
      <c r="C286" s="489">
        <f>9.33+0.7+0.3</f>
        <v>10.33</v>
      </c>
      <c r="D286" s="488">
        <f>C286*1390*12</f>
        <v>172304.40000000002</v>
      </c>
      <c r="E286" s="488">
        <f>D286</f>
        <v>172304.40000000002</v>
      </c>
      <c r="F286" s="470">
        <f t="shared" ref="F286:F349" si="10">E286</f>
        <v>172304.40000000002</v>
      </c>
      <c r="G286" s="488"/>
      <c r="H286" s="797">
        <f>9.33+0.7+0.3</f>
        <v>10.33</v>
      </c>
      <c r="I286" s="488">
        <f>H286*1490*12</f>
        <v>184700.40000000002</v>
      </c>
      <c r="J286" s="488">
        <f t="shared" ref="J286:K289" si="11">I286</f>
        <v>184700.40000000002</v>
      </c>
      <c r="K286" s="488">
        <f t="shared" si="11"/>
        <v>184700.40000000002</v>
      </c>
      <c r="L286" s="488"/>
      <c r="M286" s="622"/>
    </row>
    <row r="287" spans="1:13" ht="20.100000000000001" customHeight="1">
      <c r="A287" s="171" t="s">
        <v>63</v>
      </c>
      <c r="B287" s="170" t="s">
        <v>16</v>
      </c>
      <c r="C287" s="489">
        <f>2.5075+3.009</f>
        <v>5.5164999999999997</v>
      </c>
      <c r="D287" s="488">
        <f>C287*1390*12</f>
        <v>92015.22</v>
      </c>
      <c r="E287" s="488">
        <f>D287</f>
        <v>92015.22</v>
      </c>
      <c r="F287" s="470">
        <f t="shared" si="10"/>
        <v>92015.22</v>
      </c>
      <c r="G287" s="488"/>
      <c r="H287" s="797">
        <v>5.5170000000000003</v>
      </c>
      <c r="I287" s="488">
        <f>H287*1490*12</f>
        <v>98643.959999999992</v>
      </c>
      <c r="J287" s="488">
        <f t="shared" si="11"/>
        <v>98643.959999999992</v>
      </c>
      <c r="K287" s="488">
        <f t="shared" si="11"/>
        <v>98643.959999999992</v>
      </c>
      <c r="L287" s="488"/>
      <c r="M287" s="622"/>
    </row>
    <row r="288" spans="1:13" ht="20.100000000000001" customHeight="1">
      <c r="A288" s="173"/>
      <c r="B288" s="170" t="s">
        <v>695</v>
      </c>
      <c r="C288" s="489">
        <f>(9.33+0.7)*2%</f>
        <v>0.2006</v>
      </c>
      <c r="D288" s="488">
        <f>C288*1390*12</f>
        <v>3346.0079999999998</v>
      </c>
      <c r="E288" s="488">
        <f>D288</f>
        <v>3346.0079999999998</v>
      </c>
      <c r="F288" s="470">
        <f t="shared" si="10"/>
        <v>3346.0079999999998</v>
      </c>
      <c r="G288" s="488"/>
      <c r="H288" s="797">
        <f>(9.33+0.7)*2%</f>
        <v>0.2006</v>
      </c>
      <c r="I288" s="488">
        <f>H288*1490*12</f>
        <v>3586.7280000000001</v>
      </c>
      <c r="J288" s="488">
        <f t="shared" si="11"/>
        <v>3586.7280000000001</v>
      </c>
      <c r="K288" s="488">
        <f t="shared" si="11"/>
        <v>3586.7280000000001</v>
      </c>
      <c r="L288" s="488"/>
      <c r="M288" s="622"/>
    </row>
    <row r="289" spans="1:13" ht="20.100000000000001" customHeight="1">
      <c r="A289" s="171"/>
      <c r="B289" s="169" t="s">
        <v>5</v>
      </c>
      <c r="C289" s="497"/>
      <c r="D289" s="491">
        <f>(C286+C288)*1210*25/75*12</f>
        <v>50968.104000000007</v>
      </c>
      <c r="E289" s="491">
        <f>D289</f>
        <v>50968.104000000007</v>
      </c>
      <c r="F289" s="466">
        <f t="shared" si="10"/>
        <v>50968.104000000007</v>
      </c>
      <c r="G289" s="491"/>
      <c r="H289" s="799"/>
      <c r="I289" s="491">
        <f>(H286+H288)*1210*25/75*12</f>
        <v>50968.104000000007</v>
      </c>
      <c r="J289" s="491">
        <f t="shared" si="11"/>
        <v>50968.104000000007</v>
      </c>
      <c r="K289" s="491">
        <f t="shared" si="11"/>
        <v>50968.104000000007</v>
      </c>
      <c r="L289" s="491"/>
      <c r="M289" s="622"/>
    </row>
    <row r="290" spans="1:13" ht="20.100000000000001" customHeight="1">
      <c r="A290" s="171"/>
      <c r="B290" s="169" t="s">
        <v>380</v>
      </c>
      <c r="C290" s="471"/>
      <c r="D290" s="472">
        <f>SUM(D291:D300)</f>
        <v>153000</v>
      </c>
      <c r="E290" s="472">
        <f>SUM(E291:E300)</f>
        <v>118000</v>
      </c>
      <c r="F290" s="466">
        <f t="shared" si="10"/>
        <v>118000</v>
      </c>
      <c r="G290" s="472"/>
      <c r="H290" s="775"/>
      <c r="I290" s="472">
        <f>SUM(I291:I302)</f>
        <v>99000</v>
      </c>
      <c r="J290" s="472">
        <f>SUM(J291:J302)</f>
        <v>99000</v>
      </c>
      <c r="K290" s="472">
        <f>SUM(K291:K302)</f>
        <v>99000</v>
      </c>
      <c r="L290" s="472"/>
      <c r="M290" s="622"/>
    </row>
    <row r="291" spans="1:13" ht="20.100000000000001" customHeight="1">
      <c r="A291" s="171"/>
      <c r="B291" s="170" t="s">
        <v>1363</v>
      </c>
      <c r="C291" s="490"/>
      <c r="D291" s="488">
        <v>13500</v>
      </c>
      <c r="E291" s="488">
        <v>13500</v>
      </c>
      <c r="F291" s="470">
        <f t="shared" si="10"/>
        <v>13500</v>
      </c>
      <c r="G291" s="488"/>
      <c r="H291" s="798"/>
      <c r="I291" s="488">
        <f>6000+5500+5000</f>
        <v>16500</v>
      </c>
      <c r="J291" s="488">
        <v>16500</v>
      </c>
      <c r="K291" s="488">
        <v>16500</v>
      </c>
      <c r="L291" s="488"/>
      <c r="M291" s="622"/>
    </row>
    <row r="292" spans="1:13" ht="20.100000000000001" customHeight="1">
      <c r="A292" s="173"/>
      <c r="B292" s="170" t="s">
        <v>567</v>
      </c>
      <c r="C292" s="490"/>
      <c r="D292" s="488">
        <v>2000</v>
      </c>
      <c r="E292" s="488">
        <v>2000</v>
      </c>
      <c r="F292" s="470">
        <f t="shared" si="10"/>
        <v>2000</v>
      </c>
      <c r="G292" s="488"/>
      <c r="H292" s="798"/>
      <c r="I292" s="488">
        <v>2000</v>
      </c>
      <c r="J292" s="488">
        <v>2000</v>
      </c>
      <c r="K292" s="488">
        <v>2000</v>
      </c>
      <c r="L292" s="488"/>
      <c r="M292" s="622"/>
    </row>
    <row r="293" spans="1:13" ht="20.100000000000001" customHeight="1">
      <c r="A293" s="173"/>
      <c r="B293" s="170" t="s">
        <v>1328</v>
      </c>
      <c r="C293" s="490"/>
      <c r="D293" s="488">
        <v>4500</v>
      </c>
      <c r="E293" s="488">
        <v>4500</v>
      </c>
      <c r="F293" s="470">
        <f t="shared" si="10"/>
        <v>4500</v>
      </c>
      <c r="G293" s="488"/>
      <c r="H293" s="798"/>
      <c r="I293" s="488">
        <f>3*500*5</f>
        <v>7500</v>
      </c>
      <c r="J293" s="488">
        <f>3*500*5</f>
        <v>7500</v>
      </c>
      <c r="K293" s="488">
        <f>3*500*5</f>
        <v>7500</v>
      </c>
      <c r="L293" s="488"/>
      <c r="M293" s="622"/>
    </row>
    <row r="294" spans="1:13" ht="20.100000000000001" customHeight="1">
      <c r="A294" s="173"/>
      <c r="B294" s="170" t="s">
        <v>235</v>
      </c>
      <c r="C294" s="490"/>
      <c r="D294" s="488">
        <v>6000</v>
      </c>
      <c r="E294" s="488">
        <v>6000</v>
      </c>
      <c r="F294" s="470">
        <f t="shared" si="10"/>
        <v>6000</v>
      </c>
      <c r="G294" s="488"/>
      <c r="H294" s="798"/>
      <c r="I294" s="488">
        <v>6000</v>
      </c>
      <c r="J294" s="488">
        <v>6000</v>
      </c>
      <c r="K294" s="488">
        <v>6000</v>
      </c>
      <c r="L294" s="488"/>
      <c r="M294" s="622"/>
    </row>
    <row r="295" spans="1:13" ht="20.100000000000001" customHeight="1">
      <c r="A295" s="173"/>
      <c r="B295" s="170" t="s">
        <v>252</v>
      </c>
      <c r="C295" s="490"/>
      <c r="D295" s="488">
        <v>12000</v>
      </c>
      <c r="E295" s="488">
        <v>12000</v>
      </c>
      <c r="F295" s="470">
        <f t="shared" si="10"/>
        <v>12000</v>
      </c>
      <c r="G295" s="488"/>
      <c r="H295" s="798"/>
      <c r="I295" s="488">
        <v>12000</v>
      </c>
      <c r="J295" s="488">
        <v>12000</v>
      </c>
      <c r="K295" s="488">
        <v>12000</v>
      </c>
      <c r="L295" s="488"/>
      <c r="M295" s="622"/>
    </row>
    <row r="296" spans="1:13" ht="20.100000000000001" customHeight="1">
      <c r="A296" s="173"/>
      <c r="B296" s="170" t="s">
        <v>803</v>
      </c>
      <c r="C296" s="490"/>
      <c r="D296" s="488">
        <v>15000</v>
      </c>
      <c r="E296" s="488">
        <v>15000</v>
      </c>
      <c r="F296" s="470">
        <f t="shared" si="10"/>
        <v>15000</v>
      </c>
      <c r="G296" s="488"/>
      <c r="H296" s="798"/>
      <c r="I296" s="488">
        <v>15000</v>
      </c>
      <c r="J296" s="488">
        <v>15000</v>
      </c>
      <c r="K296" s="488">
        <v>15000</v>
      </c>
      <c r="L296" s="488"/>
      <c r="M296" s="622"/>
    </row>
    <row r="297" spans="1:13" ht="20.100000000000001" customHeight="1">
      <c r="A297" s="173"/>
      <c r="B297" s="170" t="s">
        <v>253</v>
      </c>
      <c r="C297" s="490"/>
      <c r="D297" s="488">
        <v>5000</v>
      </c>
      <c r="E297" s="488">
        <v>5000</v>
      </c>
      <c r="F297" s="470">
        <f t="shared" si="10"/>
        <v>5000</v>
      </c>
      <c r="G297" s="488"/>
      <c r="H297" s="798"/>
      <c r="I297" s="488">
        <v>5000</v>
      </c>
      <c r="J297" s="488">
        <v>5000</v>
      </c>
      <c r="K297" s="488">
        <v>5000</v>
      </c>
      <c r="L297" s="488"/>
      <c r="M297" s="622"/>
    </row>
    <row r="298" spans="1:13" ht="20.100000000000001" customHeight="1">
      <c r="A298" s="173"/>
      <c r="B298" s="170" t="s">
        <v>919</v>
      </c>
      <c r="C298" s="490"/>
      <c r="D298" s="488">
        <v>60000</v>
      </c>
      <c r="E298" s="488">
        <v>25000</v>
      </c>
      <c r="F298" s="470">
        <v>25000</v>
      </c>
      <c r="G298" s="488"/>
      <c r="H298" s="798"/>
      <c r="I298" s="488"/>
      <c r="J298" s="488"/>
      <c r="K298" s="488"/>
      <c r="L298" s="488"/>
      <c r="M298" s="358" t="s">
        <v>1172</v>
      </c>
    </row>
    <row r="299" spans="1:13" ht="20.100000000000001" customHeight="1">
      <c r="A299" s="173"/>
      <c r="B299" s="170" t="s">
        <v>920</v>
      </c>
      <c r="C299" s="490"/>
      <c r="D299" s="488">
        <v>15000</v>
      </c>
      <c r="E299" s="488">
        <v>15000</v>
      </c>
      <c r="F299" s="470">
        <f t="shared" si="10"/>
        <v>15000</v>
      </c>
      <c r="G299" s="488"/>
      <c r="H299" s="798"/>
      <c r="I299" s="488"/>
      <c r="J299" s="488"/>
      <c r="K299" s="488"/>
      <c r="L299" s="488"/>
      <c r="M299" s="761"/>
    </row>
    <row r="300" spans="1:13" ht="20.100000000000001" customHeight="1">
      <c r="A300" s="173"/>
      <c r="B300" s="170" t="s">
        <v>921</v>
      </c>
      <c r="C300" s="490"/>
      <c r="D300" s="488">
        <v>20000</v>
      </c>
      <c r="E300" s="488">
        <v>20000</v>
      </c>
      <c r="F300" s="470">
        <f t="shared" si="10"/>
        <v>20000</v>
      </c>
      <c r="G300" s="488"/>
      <c r="H300" s="798"/>
      <c r="I300" s="488"/>
      <c r="J300" s="488"/>
      <c r="K300" s="488"/>
      <c r="L300" s="488"/>
      <c r="M300" s="761"/>
    </row>
    <row r="301" spans="1:13" ht="20.100000000000001" customHeight="1">
      <c r="A301" s="173"/>
      <c r="B301" s="170" t="s">
        <v>1364</v>
      </c>
      <c r="C301" s="490"/>
      <c r="D301" s="488"/>
      <c r="E301" s="488"/>
      <c r="F301" s="470"/>
      <c r="G301" s="488"/>
      <c r="H301" s="798"/>
      <c r="I301" s="488">
        <v>15000</v>
      </c>
      <c r="J301" s="488">
        <v>15000</v>
      </c>
      <c r="K301" s="488">
        <v>15000</v>
      </c>
      <c r="L301" s="488"/>
      <c r="M301" s="761"/>
    </row>
    <row r="302" spans="1:13" ht="20.100000000000001" customHeight="1">
      <c r="A302" s="173"/>
      <c r="B302" s="170" t="s">
        <v>1365</v>
      </c>
      <c r="C302" s="490"/>
      <c r="D302" s="488"/>
      <c r="E302" s="488"/>
      <c r="F302" s="470"/>
      <c r="G302" s="488"/>
      <c r="H302" s="798"/>
      <c r="I302" s="488">
        <v>20000</v>
      </c>
      <c r="J302" s="488">
        <v>20000</v>
      </c>
      <c r="K302" s="488">
        <v>20000</v>
      </c>
      <c r="L302" s="488"/>
      <c r="M302" s="761"/>
    </row>
    <row r="303" spans="1:13" ht="20.100000000000001" customHeight="1">
      <c r="A303" s="171">
        <v>9</v>
      </c>
      <c r="B303" s="169" t="s">
        <v>793</v>
      </c>
      <c r="C303" s="471"/>
      <c r="D303" s="472">
        <f>D304+D305</f>
        <v>368712</v>
      </c>
      <c r="E303" s="472">
        <f>E304+E305</f>
        <v>368712</v>
      </c>
      <c r="F303" s="466">
        <f t="shared" si="10"/>
        <v>368712</v>
      </c>
      <c r="G303" s="472"/>
      <c r="H303" s="775"/>
      <c r="I303" s="472">
        <f>I304+I305</f>
        <v>408712</v>
      </c>
      <c r="J303" s="472">
        <f>J304+J305</f>
        <v>408712</v>
      </c>
      <c r="K303" s="472">
        <f>K304+K305</f>
        <v>408712</v>
      </c>
      <c r="L303" s="472"/>
      <c r="M303" s="622"/>
    </row>
    <row r="304" spans="1:13" ht="20.100000000000001" customHeight="1">
      <c r="A304" s="173"/>
      <c r="B304" s="170" t="s">
        <v>794</v>
      </c>
      <c r="C304" s="490"/>
      <c r="D304" s="461">
        <v>39204</v>
      </c>
      <c r="E304" s="461">
        <v>39204</v>
      </c>
      <c r="F304" s="470">
        <f t="shared" si="10"/>
        <v>39204</v>
      </c>
      <c r="G304" s="461"/>
      <c r="H304" s="798"/>
      <c r="I304" s="461">
        <v>39204</v>
      </c>
      <c r="J304" s="461">
        <v>39204</v>
      </c>
      <c r="K304" s="461">
        <v>39204</v>
      </c>
      <c r="L304" s="461"/>
      <c r="M304" s="622"/>
    </row>
    <row r="305" spans="1:13" ht="20.100000000000001" customHeight="1">
      <c r="A305" s="171"/>
      <c r="B305" s="170" t="s">
        <v>1366</v>
      </c>
      <c r="C305" s="490"/>
      <c r="D305" s="461">
        <v>329508</v>
      </c>
      <c r="E305" s="461">
        <f>D305</f>
        <v>329508</v>
      </c>
      <c r="F305" s="470">
        <f t="shared" si="10"/>
        <v>329508</v>
      </c>
      <c r="G305" s="461"/>
      <c r="H305" s="798"/>
      <c r="I305" s="461">
        <f>40000+329508</f>
        <v>369508</v>
      </c>
      <c r="J305" s="461">
        <f>40000+329508</f>
        <v>369508</v>
      </c>
      <c r="K305" s="461">
        <f>40000+329508</f>
        <v>369508</v>
      </c>
      <c r="L305" s="461"/>
      <c r="M305" s="622"/>
    </row>
    <row r="306" spans="1:13" ht="20.100000000000001" customHeight="1">
      <c r="A306" s="176">
        <v>10</v>
      </c>
      <c r="B306" s="785" t="s">
        <v>311</v>
      </c>
      <c r="C306" s="471"/>
      <c r="D306" s="472">
        <f>(D307+D311+D312)</f>
        <v>1725686.4120000002</v>
      </c>
      <c r="E306" s="472">
        <f>(E307+E311+E312)</f>
        <v>1725686.4120000002</v>
      </c>
      <c r="F306" s="466">
        <f t="shared" si="10"/>
        <v>1725686.4120000002</v>
      </c>
      <c r="G306" s="472"/>
      <c r="H306" s="775"/>
      <c r="I306" s="472">
        <f>(I307+I311+I312)</f>
        <v>1519318.7999999998</v>
      </c>
      <c r="J306" s="472">
        <f>(J307+J311+J312)</f>
        <v>1494318.7999999998</v>
      </c>
      <c r="K306" s="472">
        <f>(K307+K311+K312)</f>
        <v>1494318.7999999998</v>
      </c>
      <c r="L306" s="472"/>
      <c r="M306" s="622"/>
    </row>
    <row r="307" spans="1:13" ht="20.100000000000001" customHeight="1">
      <c r="A307" s="173"/>
      <c r="B307" s="169" t="s">
        <v>377</v>
      </c>
      <c r="C307" s="496"/>
      <c r="D307" s="472">
        <f>(D308+D309+D310)</f>
        <v>1014800.3580000002</v>
      </c>
      <c r="E307" s="472">
        <f>(E308+E309+E310)</f>
        <v>1014800.3580000002</v>
      </c>
      <c r="F307" s="466">
        <f t="shared" si="10"/>
        <v>1014800.3580000002</v>
      </c>
      <c r="G307" s="472"/>
      <c r="H307" s="775"/>
      <c r="I307" s="472">
        <f>(I308+I309+I310)</f>
        <v>821831.85</v>
      </c>
      <c r="J307" s="472">
        <f>(J308+J309+J310)</f>
        <v>821831.85</v>
      </c>
      <c r="K307" s="472">
        <f>(K308+K309+K310)</f>
        <v>821831.85</v>
      </c>
      <c r="L307" s="472"/>
      <c r="M307" s="622"/>
    </row>
    <row r="308" spans="1:13" ht="20.100000000000001" customHeight="1">
      <c r="A308" s="171"/>
      <c r="B308" s="170" t="s">
        <v>1367</v>
      </c>
      <c r="C308" s="505">
        <f>35.17+0.7+0.856+0.8+5.64+0.2</f>
        <v>43.366000000000007</v>
      </c>
      <c r="D308" s="488">
        <f>C308*1390*12</f>
        <v>723344.88000000012</v>
      </c>
      <c r="E308" s="488">
        <f>D308</f>
        <v>723344.88000000012</v>
      </c>
      <c r="F308" s="470">
        <f t="shared" si="10"/>
        <v>723344.88000000012</v>
      </c>
      <c r="G308" s="488"/>
      <c r="H308" s="797">
        <f>29.06+0.99+0.5+0.7+0.2</f>
        <v>31.449999999999996</v>
      </c>
      <c r="I308" s="488">
        <f>H308*1490*12</f>
        <v>562325.99999999988</v>
      </c>
      <c r="J308" s="488">
        <f t="shared" ref="J308:K311" si="12">I308</f>
        <v>562325.99999999988</v>
      </c>
      <c r="K308" s="488">
        <f t="shared" si="12"/>
        <v>562325.99999999988</v>
      </c>
      <c r="L308" s="488"/>
      <c r="M308" s="622"/>
    </row>
    <row r="309" spans="1:13" ht="20.100000000000001" customHeight="1">
      <c r="A309" s="171"/>
      <c r="B309" s="170" t="s">
        <v>795</v>
      </c>
      <c r="C309" s="505">
        <v>9.2100000000000009</v>
      </c>
      <c r="D309" s="488">
        <f>C309*1390*12</f>
        <v>153622.80000000002</v>
      </c>
      <c r="E309" s="488">
        <f>D309</f>
        <v>153622.80000000002</v>
      </c>
      <c r="F309" s="470">
        <f t="shared" si="10"/>
        <v>153622.80000000002</v>
      </c>
      <c r="G309" s="488"/>
      <c r="H309" s="797">
        <v>7.64</v>
      </c>
      <c r="I309" s="488">
        <f>H309*1490*12</f>
        <v>136603.20000000001</v>
      </c>
      <c r="J309" s="488">
        <f t="shared" si="12"/>
        <v>136603.20000000001</v>
      </c>
      <c r="K309" s="488">
        <f t="shared" si="12"/>
        <v>136603.20000000001</v>
      </c>
      <c r="L309" s="488"/>
      <c r="M309" s="622"/>
    </row>
    <row r="310" spans="1:13" ht="20.100000000000001" customHeight="1">
      <c r="A310" s="171"/>
      <c r="B310" s="170" t="s">
        <v>175</v>
      </c>
      <c r="C310" s="505">
        <f>(35.17+0.7+0.856)*22.5%</f>
        <v>8.2633500000000009</v>
      </c>
      <c r="D310" s="488">
        <f>C310*1390*12</f>
        <v>137832.67800000001</v>
      </c>
      <c r="E310" s="488">
        <f>D310</f>
        <v>137832.67800000001</v>
      </c>
      <c r="F310" s="470">
        <f t="shared" si="10"/>
        <v>137832.67800000001</v>
      </c>
      <c r="G310" s="488"/>
      <c r="H310" s="797">
        <f>(29.06+0.99+0.5)*22.5%</f>
        <v>6.8737499999999994</v>
      </c>
      <c r="I310" s="488">
        <f>H310*1490*12</f>
        <v>122902.65</v>
      </c>
      <c r="J310" s="488">
        <f t="shared" si="12"/>
        <v>122902.65</v>
      </c>
      <c r="K310" s="488">
        <f t="shared" si="12"/>
        <v>122902.65</v>
      </c>
      <c r="L310" s="488"/>
      <c r="M310" s="622"/>
    </row>
    <row r="311" spans="1:13" ht="20.100000000000001" customHeight="1">
      <c r="A311" s="171"/>
      <c r="B311" s="169" t="s">
        <v>732</v>
      </c>
      <c r="C311" s="492"/>
      <c r="D311" s="491">
        <f>(C308+C310)*1210*25/75*12</f>
        <v>249886.054</v>
      </c>
      <c r="E311" s="491">
        <f>D311</f>
        <v>249886.054</v>
      </c>
      <c r="F311" s="466">
        <f t="shared" si="10"/>
        <v>249886.054</v>
      </c>
      <c r="G311" s="491"/>
      <c r="H311" s="799"/>
      <c r="I311" s="491">
        <f>(H308+H310)*1210*25/75*12</f>
        <v>185486.94999999998</v>
      </c>
      <c r="J311" s="491">
        <f t="shared" si="12"/>
        <v>185486.94999999998</v>
      </c>
      <c r="K311" s="491">
        <f t="shared" si="12"/>
        <v>185486.94999999998</v>
      </c>
      <c r="L311" s="491"/>
      <c r="M311" s="622"/>
    </row>
    <row r="312" spans="1:13" ht="20.100000000000001" customHeight="1">
      <c r="A312" s="171"/>
      <c r="B312" s="169" t="s">
        <v>380</v>
      </c>
      <c r="C312" s="471"/>
      <c r="D312" s="472">
        <f>SUM(D313:D319)</f>
        <v>461000</v>
      </c>
      <c r="E312" s="472">
        <f>SUM(E313:E319)</f>
        <v>461000</v>
      </c>
      <c r="F312" s="466">
        <f t="shared" si="10"/>
        <v>461000</v>
      </c>
      <c r="G312" s="472"/>
      <c r="H312" s="775"/>
      <c r="I312" s="472">
        <f>SUM(I313:I319)</f>
        <v>512000</v>
      </c>
      <c r="J312" s="472">
        <f>SUM(J313:J319)</f>
        <v>487000</v>
      </c>
      <c r="K312" s="472">
        <f>SUM(K313:K319)</f>
        <v>487000</v>
      </c>
      <c r="L312" s="472"/>
      <c r="M312" s="622"/>
    </row>
    <row r="313" spans="1:13" ht="20.100000000000001" customHeight="1">
      <c r="A313" s="171"/>
      <c r="B313" s="170" t="s">
        <v>1368</v>
      </c>
      <c r="C313" s="485"/>
      <c r="D313" s="484">
        <v>34000</v>
      </c>
      <c r="E313" s="484">
        <v>34000</v>
      </c>
      <c r="F313" s="470">
        <f t="shared" si="10"/>
        <v>34000</v>
      </c>
      <c r="G313" s="484"/>
      <c r="H313" s="791"/>
      <c r="I313" s="484">
        <f>6000+5500+5*5000</f>
        <v>36500</v>
      </c>
      <c r="J313" s="484">
        <f>6000+5500+5*5000</f>
        <v>36500</v>
      </c>
      <c r="K313" s="484">
        <f>6000+5500+5*5000</f>
        <v>36500</v>
      </c>
      <c r="L313" s="484"/>
      <c r="M313" s="635"/>
    </row>
    <row r="314" spans="1:13" ht="20.100000000000001" customHeight="1">
      <c r="A314" s="173"/>
      <c r="B314" s="170" t="s">
        <v>716</v>
      </c>
      <c r="C314" s="485"/>
      <c r="D314" s="484">
        <v>3000</v>
      </c>
      <c r="E314" s="484">
        <v>3000</v>
      </c>
      <c r="F314" s="470">
        <f t="shared" si="10"/>
        <v>3000</v>
      </c>
      <c r="G314" s="484"/>
      <c r="H314" s="791"/>
      <c r="I314" s="484">
        <v>3000</v>
      </c>
      <c r="J314" s="484">
        <v>3000</v>
      </c>
      <c r="K314" s="484">
        <v>3000</v>
      </c>
      <c r="L314" s="484"/>
      <c r="M314" s="635"/>
    </row>
    <row r="315" spans="1:13" ht="20.100000000000001" customHeight="1">
      <c r="A315" s="171"/>
      <c r="B315" s="170" t="s">
        <v>1369</v>
      </c>
      <c r="C315" s="485"/>
      <c r="D315" s="484">
        <v>12000</v>
      </c>
      <c r="E315" s="484">
        <v>12000</v>
      </c>
      <c r="F315" s="470">
        <f t="shared" si="10"/>
        <v>12000</v>
      </c>
      <c r="G315" s="484"/>
      <c r="H315" s="791"/>
      <c r="I315" s="484">
        <f>7*500*5</f>
        <v>17500</v>
      </c>
      <c r="J315" s="484">
        <f>7*500*5</f>
        <v>17500</v>
      </c>
      <c r="K315" s="484">
        <f>7*500*5</f>
        <v>17500</v>
      </c>
      <c r="L315" s="484"/>
      <c r="M315" s="635"/>
    </row>
    <row r="316" spans="1:13" ht="20.100000000000001" customHeight="1">
      <c r="A316" s="171"/>
      <c r="B316" s="170" t="s">
        <v>1370</v>
      </c>
      <c r="C316" s="485"/>
      <c r="D316" s="484">
        <v>16000</v>
      </c>
      <c r="E316" s="484">
        <v>16000</v>
      </c>
      <c r="F316" s="470">
        <f t="shared" si="10"/>
        <v>16000</v>
      </c>
      <c r="G316" s="484"/>
      <c r="H316" s="791"/>
      <c r="I316" s="484">
        <v>14000</v>
      </c>
      <c r="J316" s="484">
        <v>14000</v>
      </c>
      <c r="K316" s="484">
        <v>14000</v>
      </c>
      <c r="L316" s="484"/>
      <c r="M316" s="635"/>
    </row>
    <row r="317" spans="1:13" s="118" customFormat="1" ht="20.100000000000001" customHeight="1">
      <c r="A317" s="173"/>
      <c r="B317" s="170" t="s">
        <v>1371</v>
      </c>
      <c r="C317" s="485"/>
      <c r="D317" s="484">
        <v>360000</v>
      </c>
      <c r="E317" s="484">
        <v>360000</v>
      </c>
      <c r="F317" s="470">
        <f t="shared" si="10"/>
        <v>360000</v>
      </c>
      <c r="G317" s="484"/>
      <c r="H317" s="791"/>
      <c r="I317" s="484">
        <v>405000</v>
      </c>
      <c r="J317" s="484">
        <v>380000</v>
      </c>
      <c r="K317" s="484">
        <v>380000</v>
      </c>
      <c r="L317" s="484"/>
      <c r="M317" s="358" t="s">
        <v>1372</v>
      </c>
    </row>
    <row r="318" spans="1:13" ht="20.100000000000001" customHeight="1">
      <c r="A318" s="173"/>
      <c r="B318" s="170" t="s">
        <v>452</v>
      </c>
      <c r="C318" s="509"/>
      <c r="D318" s="508">
        <v>24000</v>
      </c>
      <c r="E318" s="508">
        <v>24000</v>
      </c>
      <c r="F318" s="470">
        <f t="shared" si="10"/>
        <v>24000</v>
      </c>
      <c r="G318" s="508"/>
      <c r="H318" s="806"/>
      <c r="I318" s="508">
        <v>24000</v>
      </c>
      <c r="J318" s="508">
        <v>24000</v>
      </c>
      <c r="K318" s="508">
        <v>24000</v>
      </c>
      <c r="L318" s="508"/>
      <c r="M318" s="635"/>
    </row>
    <row r="319" spans="1:13" ht="20.100000000000001" customHeight="1">
      <c r="A319" s="173"/>
      <c r="B319" s="170" t="s">
        <v>1373</v>
      </c>
      <c r="C319" s="509"/>
      <c r="D319" s="508">
        <v>12000</v>
      </c>
      <c r="E319" s="508">
        <v>12000</v>
      </c>
      <c r="F319" s="470">
        <f t="shared" si="10"/>
        <v>12000</v>
      </c>
      <c r="G319" s="508"/>
      <c r="H319" s="806"/>
      <c r="I319" s="508">
        <v>12000</v>
      </c>
      <c r="J319" s="508">
        <v>12000</v>
      </c>
      <c r="K319" s="508">
        <v>12000</v>
      </c>
      <c r="L319" s="508"/>
      <c r="M319" s="635"/>
    </row>
    <row r="320" spans="1:13" ht="20.100000000000001" customHeight="1">
      <c r="A320" s="176">
        <v>11</v>
      </c>
      <c r="B320" s="785" t="s">
        <v>170</v>
      </c>
      <c r="C320" s="786">
        <f t="shared" ref="C320" si="13">SUM(C322:C334)</f>
        <v>0</v>
      </c>
      <c r="D320" s="787">
        <f>SUM(D321:D334)</f>
        <v>249500</v>
      </c>
      <c r="E320" s="787">
        <f>SUM(E322:E334)</f>
        <v>249500</v>
      </c>
      <c r="F320" s="466">
        <f t="shared" si="10"/>
        <v>249500</v>
      </c>
      <c r="G320" s="787"/>
      <c r="H320" s="789"/>
      <c r="I320" s="787">
        <f>SUM(I322:I334)</f>
        <v>263500</v>
      </c>
      <c r="J320" s="787">
        <f>SUM(J322:J334)</f>
        <v>263500</v>
      </c>
      <c r="K320" s="787">
        <f>SUM(K322:K334)</f>
        <v>263500</v>
      </c>
      <c r="L320" s="787"/>
      <c r="M320" s="803"/>
    </row>
    <row r="321" spans="1:13" ht="20.100000000000001" customHeight="1">
      <c r="A321" s="171"/>
      <c r="B321" s="170" t="s">
        <v>5</v>
      </c>
      <c r="C321" s="485"/>
      <c r="D321" s="484"/>
      <c r="E321" s="484"/>
      <c r="F321" s="470"/>
      <c r="G321" s="484"/>
      <c r="H321" s="791"/>
      <c r="I321" s="484"/>
      <c r="J321" s="484"/>
      <c r="K321" s="484"/>
      <c r="L321" s="484"/>
      <c r="M321" s="803"/>
    </row>
    <row r="322" spans="1:13" ht="20.100000000000001" customHeight="1">
      <c r="A322" s="171"/>
      <c r="B322" s="211" t="s">
        <v>1374</v>
      </c>
      <c r="C322" s="490"/>
      <c r="D322" s="488">
        <f>5000+4500*2+4000*2</f>
        <v>22000</v>
      </c>
      <c r="E322" s="488">
        <f>D322</f>
        <v>22000</v>
      </c>
      <c r="F322" s="470">
        <f t="shared" si="10"/>
        <v>22000</v>
      </c>
      <c r="G322" s="488"/>
      <c r="H322" s="798"/>
      <c r="I322" s="488">
        <f>6000+2*5500+2*5000</f>
        <v>27000</v>
      </c>
      <c r="J322" s="488">
        <v>27000</v>
      </c>
      <c r="K322" s="488">
        <v>27000</v>
      </c>
      <c r="L322" s="488"/>
      <c r="M322" s="622"/>
    </row>
    <row r="323" spans="1:13" ht="20.100000000000001" customHeight="1">
      <c r="A323" s="171"/>
      <c r="B323" s="177" t="s">
        <v>74</v>
      </c>
      <c r="C323" s="490"/>
      <c r="D323" s="488">
        <v>6000</v>
      </c>
      <c r="E323" s="488">
        <f>D323</f>
        <v>6000</v>
      </c>
      <c r="F323" s="470">
        <f t="shared" si="10"/>
        <v>6000</v>
      </c>
      <c r="G323" s="488"/>
      <c r="H323" s="798"/>
      <c r="I323" s="488">
        <v>6000</v>
      </c>
      <c r="J323" s="488">
        <v>6000</v>
      </c>
      <c r="K323" s="488">
        <v>6000</v>
      </c>
      <c r="L323" s="488"/>
      <c r="M323" s="622"/>
    </row>
    <row r="324" spans="1:13" ht="20.100000000000001" customHeight="1">
      <c r="A324" s="171"/>
      <c r="B324" s="170" t="s">
        <v>1375</v>
      </c>
      <c r="C324" s="490"/>
      <c r="D324" s="488">
        <v>7500</v>
      </c>
      <c r="E324" s="488">
        <f>D324</f>
        <v>7500</v>
      </c>
      <c r="F324" s="470">
        <f t="shared" si="10"/>
        <v>7500</v>
      </c>
      <c r="G324" s="488"/>
      <c r="H324" s="798"/>
      <c r="I324" s="488">
        <f>5*500*5</f>
        <v>12500</v>
      </c>
      <c r="J324" s="488">
        <f>5*500*5</f>
        <v>12500</v>
      </c>
      <c r="K324" s="488">
        <f>5*500*5</f>
        <v>12500</v>
      </c>
      <c r="L324" s="488"/>
      <c r="M324" s="622"/>
    </row>
    <row r="325" spans="1:13" ht="20.100000000000001" customHeight="1">
      <c r="A325" s="171"/>
      <c r="B325" s="170" t="s">
        <v>179</v>
      </c>
      <c r="C325" s="490"/>
      <c r="D325" s="488">
        <v>10000</v>
      </c>
      <c r="E325" s="488">
        <f>D325</f>
        <v>10000</v>
      </c>
      <c r="F325" s="470">
        <f t="shared" si="10"/>
        <v>10000</v>
      </c>
      <c r="G325" s="488"/>
      <c r="H325" s="798"/>
      <c r="I325" s="488">
        <v>10000</v>
      </c>
      <c r="J325" s="488">
        <v>10000</v>
      </c>
      <c r="K325" s="488">
        <v>10000</v>
      </c>
      <c r="L325" s="488"/>
      <c r="M325" s="622"/>
    </row>
    <row r="326" spans="1:13" ht="20.100000000000001" customHeight="1">
      <c r="A326" s="171"/>
      <c r="B326" s="170" t="s">
        <v>748</v>
      </c>
      <c r="C326" s="490"/>
      <c r="D326" s="488">
        <v>12000</v>
      </c>
      <c r="E326" s="488">
        <f>D326</f>
        <v>12000</v>
      </c>
      <c r="F326" s="470">
        <f t="shared" si="10"/>
        <v>12000</v>
      </c>
      <c r="G326" s="488"/>
      <c r="H326" s="798"/>
      <c r="I326" s="488">
        <v>12000</v>
      </c>
      <c r="J326" s="488">
        <v>12000</v>
      </c>
      <c r="K326" s="488">
        <v>12000</v>
      </c>
      <c r="L326" s="488"/>
      <c r="M326" s="622"/>
    </row>
    <row r="327" spans="1:13" ht="20.100000000000001" customHeight="1">
      <c r="A327" s="171"/>
      <c r="B327" s="170" t="s">
        <v>1376</v>
      </c>
      <c r="C327" s="490"/>
      <c r="D327" s="488">
        <v>50000</v>
      </c>
      <c r="E327" s="488">
        <v>50000</v>
      </c>
      <c r="F327" s="470">
        <f t="shared" si="10"/>
        <v>50000</v>
      </c>
      <c r="G327" s="488"/>
      <c r="H327" s="798"/>
      <c r="I327" s="488">
        <v>50000</v>
      </c>
      <c r="J327" s="488">
        <v>50000</v>
      </c>
      <c r="K327" s="488">
        <v>50000</v>
      </c>
      <c r="L327" s="488"/>
      <c r="M327" s="622"/>
    </row>
    <row r="328" spans="1:13" ht="20.100000000000001" customHeight="1">
      <c r="A328" s="171"/>
      <c r="B328" s="177" t="s">
        <v>236</v>
      </c>
      <c r="C328" s="490"/>
      <c r="D328" s="488">
        <v>40000</v>
      </c>
      <c r="E328" s="488">
        <v>40000</v>
      </c>
      <c r="F328" s="470">
        <f t="shared" si="10"/>
        <v>40000</v>
      </c>
      <c r="G328" s="488"/>
      <c r="H328" s="798"/>
      <c r="I328" s="488">
        <v>40000</v>
      </c>
      <c r="J328" s="488">
        <v>40000</v>
      </c>
      <c r="K328" s="488">
        <v>40000</v>
      </c>
      <c r="L328" s="488"/>
      <c r="M328" s="622"/>
    </row>
    <row r="329" spans="1:13" ht="20.100000000000001" customHeight="1">
      <c r="A329" s="171"/>
      <c r="B329" s="177" t="s">
        <v>172</v>
      </c>
      <c r="C329" s="490"/>
      <c r="D329" s="488">
        <v>36000</v>
      </c>
      <c r="E329" s="488">
        <v>36000</v>
      </c>
      <c r="F329" s="470">
        <f t="shared" si="10"/>
        <v>36000</v>
      </c>
      <c r="G329" s="488"/>
      <c r="H329" s="798"/>
      <c r="I329" s="488">
        <v>36000</v>
      </c>
      <c r="J329" s="488">
        <v>36000</v>
      </c>
      <c r="K329" s="488">
        <v>36000</v>
      </c>
      <c r="L329" s="488"/>
      <c r="M329" s="622"/>
    </row>
    <row r="330" spans="1:13" ht="20.100000000000001" customHeight="1">
      <c r="A330" s="173"/>
      <c r="B330" s="212" t="s">
        <v>137</v>
      </c>
      <c r="C330" s="490"/>
      <c r="D330" s="488">
        <v>20000</v>
      </c>
      <c r="E330" s="488">
        <v>20000</v>
      </c>
      <c r="F330" s="470">
        <f t="shared" si="10"/>
        <v>20000</v>
      </c>
      <c r="G330" s="488"/>
      <c r="H330" s="798"/>
      <c r="I330" s="488">
        <v>20000</v>
      </c>
      <c r="J330" s="488">
        <v>20000</v>
      </c>
      <c r="K330" s="488">
        <v>20000</v>
      </c>
      <c r="L330" s="488"/>
      <c r="M330" s="622"/>
    </row>
    <row r="331" spans="1:13" ht="20.100000000000001" customHeight="1">
      <c r="A331" s="173"/>
      <c r="B331" s="211" t="s">
        <v>707</v>
      </c>
      <c r="C331" s="490"/>
      <c r="D331" s="488">
        <v>15000</v>
      </c>
      <c r="E331" s="488">
        <v>15000</v>
      </c>
      <c r="F331" s="470">
        <f t="shared" si="10"/>
        <v>15000</v>
      </c>
      <c r="G331" s="488"/>
      <c r="H331" s="798"/>
      <c r="I331" s="488">
        <v>15000</v>
      </c>
      <c r="J331" s="488">
        <v>15000</v>
      </c>
      <c r="K331" s="488">
        <v>15000</v>
      </c>
      <c r="L331" s="488"/>
      <c r="M331" s="624"/>
    </row>
    <row r="332" spans="1:13" ht="20.100000000000001" customHeight="1">
      <c r="A332" s="173"/>
      <c r="B332" s="211" t="s">
        <v>270</v>
      </c>
      <c r="C332" s="490"/>
      <c r="D332" s="488">
        <v>10000</v>
      </c>
      <c r="E332" s="488">
        <v>10000</v>
      </c>
      <c r="F332" s="470">
        <f t="shared" si="10"/>
        <v>10000</v>
      </c>
      <c r="G332" s="488"/>
      <c r="H332" s="798"/>
      <c r="I332" s="488">
        <v>10000</v>
      </c>
      <c r="J332" s="488">
        <v>10000</v>
      </c>
      <c r="K332" s="488">
        <v>10000</v>
      </c>
      <c r="L332" s="488"/>
      <c r="M332" s="622"/>
    </row>
    <row r="333" spans="1:13" ht="20.100000000000001" customHeight="1">
      <c r="A333" s="173"/>
      <c r="B333" s="170" t="s">
        <v>1377</v>
      </c>
      <c r="C333" s="490"/>
      <c r="D333" s="488">
        <v>6000</v>
      </c>
      <c r="E333" s="488">
        <v>6000</v>
      </c>
      <c r="F333" s="470">
        <f t="shared" si="10"/>
        <v>6000</v>
      </c>
      <c r="G333" s="488"/>
      <c r="H333" s="798"/>
      <c r="I333" s="488">
        <v>10000</v>
      </c>
      <c r="J333" s="488">
        <v>10000</v>
      </c>
      <c r="K333" s="488">
        <v>10000</v>
      </c>
      <c r="L333" s="488"/>
      <c r="M333" s="622"/>
    </row>
    <row r="334" spans="1:13" ht="20.100000000000001" customHeight="1">
      <c r="A334" s="173"/>
      <c r="B334" s="170" t="s">
        <v>925</v>
      </c>
      <c r="C334" s="490"/>
      <c r="D334" s="488">
        <v>15000</v>
      </c>
      <c r="E334" s="488">
        <v>15000</v>
      </c>
      <c r="F334" s="470">
        <f t="shared" si="10"/>
        <v>15000</v>
      </c>
      <c r="G334" s="488"/>
      <c r="H334" s="798"/>
      <c r="I334" s="488">
        <v>15000</v>
      </c>
      <c r="J334" s="488">
        <v>15000</v>
      </c>
      <c r="K334" s="488">
        <v>15000</v>
      </c>
      <c r="L334" s="488"/>
      <c r="M334" s="761" t="s">
        <v>1378</v>
      </c>
    </row>
    <row r="335" spans="1:13" ht="20.100000000000001" customHeight="1">
      <c r="A335" s="176">
        <v>12</v>
      </c>
      <c r="B335" s="785" t="s">
        <v>308</v>
      </c>
      <c r="C335" s="492">
        <f t="shared" ref="C335:E335" si="14">C336</f>
        <v>0</v>
      </c>
      <c r="D335" s="464">
        <f t="shared" si="14"/>
        <v>221500</v>
      </c>
      <c r="E335" s="464">
        <f t="shared" si="14"/>
        <v>192500</v>
      </c>
      <c r="F335" s="466">
        <f t="shared" si="10"/>
        <v>192500</v>
      </c>
      <c r="G335" s="464"/>
      <c r="H335" s="799"/>
      <c r="I335" s="464">
        <f>SUM(I336:I344)</f>
        <v>157500</v>
      </c>
      <c r="J335" s="464">
        <f>SUM(J336:J344)</f>
        <v>157500</v>
      </c>
      <c r="K335" s="464">
        <f>SUM(K336:K344)</f>
        <v>157500</v>
      </c>
      <c r="L335" s="464"/>
      <c r="M335" s="622"/>
    </row>
    <row r="336" spans="1:13" ht="20.100000000000001" customHeight="1">
      <c r="A336" s="171"/>
      <c r="B336" s="510"/>
      <c r="C336" s="471">
        <f t="shared" ref="C336:D336" si="15">SUM(C337:C344)</f>
        <v>0</v>
      </c>
      <c r="D336" s="472">
        <f t="shared" si="15"/>
        <v>221500</v>
      </c>
      <c r="E336" s="472">
        <f>SUM(E337:E344)</f>
        <v>192500</v>
      </c>
      <c r="F336" s="466">
        <f t="shared" si="10"/>
        <v>192500</v>
      </c>
      <c r="G336" s="472"/>
      <c r="H336" s="775"/>
      <c r="I336" s="472"/>
      <c r="J336" s="472"/>
      <c r="K336" s="472"/>
      <c r="L336" s="472"/>
      <c r="M336" s="622"/>
    </row>
    <row r="337" spans="1:13" ht="20.100000000000001" customHeight="1">
      <c r="A337" s="173"/>
      <c r="B337" s="170" t="s">
        <v>1379</v>
      </c>
      <c r="C337" s="490"/>
      <c r="D337" s="488">
        <v>13500</v>
      </c>
      <c r="E337" s="488">
        <f>D337</f>
        <v>13500</v>
      </c>
      <c r="F337" s="470">
        <f t="shared" si="10"/>
        <v>13500</v>
      </c>
      <c r="G337" s="488"/>
      <c r="H337" s="798"/>
      <c r="I337" s="488">
        <f>6000+5000</f>
        <v>11000</v>
      </c>
      <c r="J337" s="488">
        <f>11000</f>
        <v>11000</v>
      </c>
      <c r="K337" s="488">
        <f>11000</f>
        <v>11000</v>
      </c>
      <c r="L337" s="488"/>
      <c r="M337" s="622"/>
    </row>
    <row r="338" spans="1:13" ht="20.100000000000001" customHeight="1">
      <c r="A338" s="171"/>
      <c r="B338" s="170" t="s">
        <v>797</v>
      </c>
      <c r="C338" s="490"/>
      <c r="D338" s="488">
        <v>2000</v>
      </c>
      <c r="E338" s="488">
        <f>D338</f>
        <v>2000</v>
      </c>
      <c r="F338" s="470">
        <f t="shared" si="10"/>
        <v>2000</v>
      </c>
      <c r="G338" s="488"/>
      <c r="H338" s="798"/>
      <c r="I338" s="488">
        <v>2000</v>
      </c>
      <c r="J338" s="488">
        <v>2000</v>
      </c>
      <c r="K338" s="488">
        <v>2000</v>
      </c>
      <c r="L338" s="488"/>
      <c r="M338" s="622"/>
    </row>
    <row r="339" spans="1:13" ht="20.100000000000001" customHeight="1">
      <c r="A339" s="171"/>
      <c r="B339" s="207" t="s">
        <v>1380</v>
      </c>
      <c r="C339" s="490"/>
      <c r="D339" s="488">
        <f>2*300*5</f>
        <v>3000</v>
      </c>
      <c r="E339" s="488">
        <f>D339</f>
        <v>3000</v>
      </c>
      <c r="F339" s="470">
        <f t="shared" si="10"/>
        <v>3000</v>
      </c>
      <c r="G339" s="488"/>
      <c r="H339" s="798"/>
      <c r="I339" s="488">
        <f>3*500*5</f>
        <v>7500</v>
      </c>
      <c r="J339" s="488">
        <f>3*500*5</f>
        <v>7500</v>
      </c>
      <c r="K339" s="488">
        <f>3*500*5</f>
        <v>7500</v>
      </c>
      <c r="L339" s="488"/>
      <c r="M339" s="622"/>
    </row>
    <row r="340" spans="1:13" ht="20.100000000000001" customHeight="1">
      <c r="A340" s="173"/>
      <c r="B340" s="170" t="s">
        <v>1381</v>
      </c>
      <c r="C340" s="490"/>
      <c r="D340" s="488">
        <v>4000</v>
      </c>
      <c r="E340" s="488">
        <f>D340</f>
        <v>4000</v>
      </c>
      <c r="F340" s="470">
        <f t="shared" si="10"/>
        <v>4000</v>
      </c>
      <c r="G340" s="488"/>
      <c r="H340" s="798"/>
      <c r="I340" s="488">
        <v>6000</v>
      </c>
      <c r="J340" s="488">
        <v>6000</v>
      </c>
      <c r="K340" s="488">
        <v>6000</v>
      </c>
      <c r="L340" s="488"/>
      <c r="M340" s="622"/>
    </row>
    <row r="341" spans="1:13" ht="20.100000000000001" customHeight="1">
      <c r="A341" s="171"/>
      <c r="B341" s="170" t="s">
        <v>1382</v>
      </c>
      <c r="C341" s="490"/>
      <c r="D341" s="488">
        <f>143000+6000</f>
        <v>149000</v>
      </c>
      <c r="E341" s="488">
        <v>120000</v>
      </c>
      <c r="F341" s="470">
        <f t="shared" si="10"/>
        <v>120000</v>
      </c>
      <c r="G341" s="488"/>
      <c r="H341" s="798"/>
      <c r="I341" s="488">
        <v>104000</v>
      </c>
      <c r="J341" s="488">
        <v>104000</v>
      </c>
      <c r="K341" s="488">
        <v>104000</v>
      </c>
      <c r="L341" s="488"/>
      <c r="M341" s="623"/>
    </row>
    <row r="342" spans="1:13" ht="20.100000000000001" customHeight="1">
      <c r="A342" s="171"/>
      <c r="B342" s="170" t="s">
        <v>776</v>
      </c>
      <c r="C342" s="490"/>
      <c r="D342" s="1153">
        <v>30000</v>
      </c>
      <c r="E342" s="1155">
        <v>30000</v>
      </c>
      <c r="F342" s="1156">
        <f t="shared" si="10"/>
        <v>30000</v>
      </c>
      <c r="G342" s="488"/>
      <c r="H342" s="798"/>
      <c r="I342" s="488">
        <v>12000</v>
      </c>
      <c r="J342" s="488">
        <v>12000</v>
      </c>
      <c r="K342" s="488">
        <v>12000</v>
      </c>
      <c r="L342" s="488"/>
      <c r="M342" s="634" t="s">
        <v>931</v>
      </c>
    </row>
    <row r="343" spans="1:13" ht="20.100000000000001" customHeight="1">
      <c r="A343" s="171"/>
      <c r="B343" s="170" t="s">
        <v>39</v>
      </c>
      <c r="C343" s="490"/>
      <c r="D343" s="1154"/>
      <c r="E343" s="1155"/>
      <c r="F343" s="1156"/>
      <c r="G343" s="488"/>
      <c r="H343" s="798"/>
      <c r="I343" s="488"/>
      <c r="J343" s="488"/>
      <c r="K343" s="488"/>
      <c r="L343" s="488"/>
      <c r="M343" s="622"/>
    </row>
    <row r="344" spans="1:13" ht="20.100000000000001" customHeight="1">
      <c r="A344" s="171"/>
      <c r="B344" s="170" t="s">
        <v>712</v>
      </c>
      <c r="C344" s="490"/>
      <c r="D344" s="488">
        <v>20000</v>
      </c>
      <c r="E344" s="488">
        <v>20000</v>
      </c>
      <c r="F344" s="470">
        <f t="shared" si="10"/>
        <v>20000</v>
      </c>
      <c r="G344" s="488"/>
      <c r="H344" s="798"/>
      <c r="I344" s="488">
        <v>15000</v>
      </c>
      <c r="J344" s="488">
        <v>15000</v>
      </c>
      <c r="K344" s="488">
        <v>15000</v>
      </c>
      <c r="L344" s="488"/>
      <c r="M344" s="622"/>
    </row>
    <row r="345" spans="1:13" ht="20.100000000000001" customHeight="1">
      <c r="A345" s="176">
        <v>13</v>
      </c>
      <c r="B345" s="785" t="s">
        <v>798</v>
      </c>
      <c r="C345" s="471" t="e">
        <f>(#REF!)</f>
        <v>#REF!</v>
      </c>
      <c r="D345" s="472">
        <f t="shared" ref="D345:K345" si="16">SUM(D346:D355)</f>
        <v>239500</v>
      </c>
      <c r="E345" s="472">
        <f t="shared" si="16"/>
        <v>239500</v>
      </c>
      <c r="F345" s="472">
        <f t="shared" si="16"/>
        <v>239500</v>
      </c>
      <c r="G345" s="472">
        <f t="shared" si="16"/>
        <v>0</v>
      </c>
      <c r="H345" s="775">
        <f t="shared" si="16"/>
        <v>0</v>
      </c>
      <c r="I345" s="472">
        <f t="shared" si="16"/>
        <v>229500</v>
      </c>
      <c r="J345" s="472">
        <f t="shared" si="16"/>
        <v>229500</v>
      </c>
      <c r="K345" s="472">
        <f t="shared" si="16"/>
        <v>229500</v>
      </c>
      <c r="L345" s="472"/>
      <c r="M345" s="622"/>
    </row>
    <row r="346" spans="1:13" s="118" customFormat="1" ht="20.100000000000001" customHeight="1">
      <c r="A346" s="171"/>
      <c r="B346" s="170" t="s">
        <v>1383</v>
      </c>
      <c r="C346" s="490"/>
      <c r="D346" s="488">
        <f>5000+9000+4000*2</f>
        <v>22000</v>
      </c>
      <c r="E346" s="488">
        <v>22000</v>
      </c>
      <c r="F346" s="470">
        <f t="shared" si="10"/>
        <v>22000</v>
      </c>
      <c r="G346" s="488"/>
      <c r="H346" s="798"/>
      <c r="I346" s="488">
        <f>6000+2*5500+2*5000</f>
        <v>27000</v>
      </c>
      <c r="J346" s="488">
        <v>27000</v>
      </c>
      <c r="K346" s="488">
        <v>27000</v>
      </c>
      <c r="L346" s="488"/>
      <c r="M346" s="636"/>
    </row>
    <row r="347" spans="1:13" ht="20.100000000000001" customHeight="1">
      <c r="A347" s="171"/>
      <c r="B347" s="170" t="s">
        <v>40</v>
      </c>
      <c r="C347" s="490"/>
      <c r="D347" s="488">
        <v>3000</v>
      </c>
      <c r="E347" s="488">
        <v>3000</v>
      </c>
      <c r="F347" s="470">
        <f t="shared" si="10"/>
        <v>3000</v>
      </c>
      <c r="G347" s="488"/>
      <c r="H347" s="798"/>
      <c r="I347" s="488">
        <v>3000</v>
      </c>
      <c r="J347" s="488">
        <v>3000</v>
      </c>
      <c r="K347" s="488">
        <v>3000</v>
      </c>
      <c r="L347" s="488"/>
      <c r="M347" s="622"/>
    </row>
    <row r="348" spans="1:13" ht="20.100000000000001" customHeight="1">
      <c r="A348" s="171"/>
      <c r="B348" s="170" t="s">
        <v>1384</v>
      </c>
      <c r="C348" s="490"/>
      <c r="D348" s="488">
        <f>5*300*5</f>
        <v>7500</v>
      </c>
      <c r="E348" s="488">
        <f>D348</f>
        <v>7500</v>
      </c>
      <c r="F348" s="470">
        <f t="shared" si="10"/>
        <v>7500</v>
      </c>
      <c r="G348" s="488"/>
      <c r="H348" s="798"/>
      <c r="I348" s="488">
        <f>5*500*5</f>
        <v>12500</v>
      </c>
      <c r="J348" s="488">
        <f>5*500*5</f>
        <v>12500</v>
      </c>
      <c r="K348" s="488">
        <f>5*500*5</f>
        <v>12500</v>
      </c>
      <c r="L348" s="488"/>
      <c r="M348" s="622"/>
    </row>
    <row r="349" spans="1:13" ht="20.100000000000001" customHeight="1">
      <c r="A349" s="171"/>
      <c r="B349" s="170" t="s">
        <v>186</v>
      </c>
      <c r="C349" s="490"/>
      <c r="D349" s="488">
        <v>12000</v>
      </c>
      <c r="E349" s="488">
        <v>12000</v>
      </c>
      <c r="F349" s="470">
        <f t="shared" si="10"/>
        <v>12000</v>
      </c>
      <c r="G349" s="488"/>
      <c r="H349" s="798"/>
      <c r="I349" s="488">
        <v>12000</v>
      </c>
      <c r="J349" s="488">
        <v>12000</v>
      </c>
      <c r="K349" s="488">
        <v>12000</v>
      </c>
      <c r="L349" s="488"/>
      <c r="M349" s="622"/>
    </row>
    <row r="350" spans="1:13" ht="20.100000000000001" customHeight="1">
      <c r="A350" s="171"/>
      <c r="B350" s="170" t="s">
        <v>604</v>
      </c>
      <c r="C350" s="490"/>
      <c r="D350" s="488">
        <v>10000</v>
      </c>
      <c r="E350" s="488">
        <v>10000</v>
      </c>
      <c r="F350" s="470">
        <f t="shared" ref="F350:F406" si="17">E350</f>
        <v>10000</v>
      </c>
      <c r="G350" s="488"/>
      <c r="H350" s="798"/>
      <c r="I350" s="488">
        <v>10000</v>
      </c>
      <c r="J350" s="488">
        <v>10000</v>
      </c>
      <c r="K350" s="488">
        <v>10000</v>
      </c>
      <c r="L350" s="488"/>
      <c r="M350" s="622"/>
    </row>
    <row r="351" spans="1:13" ht="20.100000000000001" customHeight="1">
      <c r="A351" s="173"/>
      <c r="B351" s="170" t="s">
        <v>440</v>
      </c>
      <c r="C351" s="490"/>
      <c r="D351" s="488">
        <v>25000</v>
      </c>
      <c r="E351" s="488">
        <v>25000</v>
      </c>
      <c r="F351" s="470">
        <f t="shared" si="17"/>
        <v>25000</v>
      </c>
      <c r="G351" s="488"/>
      <c r="H351" s="798"/>
      <c r="I351" s="488">
        <v>25000</v>
      </c>
      <c r="J351" s="488">
        <v>25000</v>
      </c>
      <c r="K351" s="488">
        <v>25000</v>
      </c>
      <c r="L351" s="488"/>
      <c r="M351" s="622"/>
    </row>
    <row r="352" spans="1:13" ht="20.100000000000001" customHeight="1">
      <c r="A352" s="173"/>
      <c r="B352" s="170" t="s">
        <v>753</v>
      </c>
      <c r="C352" s="490"/>
      <c r="D352" s="488">
        <v>30000</v>
      </c>
      <c r="E352" s="488">
        <v>30000</v>
      </c>
      <c r="F352" s="470">
        <f t="shared" si="17"/>
        <v>30000</v>
      </c>
      <c r="G352" s="488"/>
      <c r="H352" s="798"/>
      <c r="I352" s="488">
        <v>30000</v>
      </c>
      <c r="J352" s="488">
        <v>30000</v>
      </c>
      <c r="K352" s="488">
        <v>30000</v>
      </c>
      <c r="L352" s="488"/>
      <c r="M352" s="622"/>
    </row>
    <row r="353" spans="1:13" ht="20.100000000000001" customHeight="1">
      <c r="A353" s="173"/>
      <c r="B353" s="170" t="s">
        <v>180</v>
      </c>
      <c r="C353" s="490"/>
      <c r="D353" s="488">
        <v>10000</v>
      </c>
      <c r="E353" s="488">
        <v>10000</v>
      </c>
      <c r="F353" s="470">
        <f t="shared" si="17"/>
        <v>10000</v>
      </c>
      <c r="G353" s="488"/>
      <c r="H353" s="798"/>
      <c r="I353" s="488">
        <v>10000</v>
      </c>
      <c r="J353" s="488">
        <v>10000</v>
      </c>
      <c r="K353" s="488">
        <v>10000</v>
      </c>
      <c r="L353" s="488"/>
      <c r="M353" s="622"/>
    </row>
    <row r="354" spans="1:13" ht="20.100000000000001" customHeight="1">
      <c r="A354" s="511"/>
      <c r="B354" s="476" t="s">
        <v>633</v>
      </c>
      <c r="C354" s="490"/>
      <c r="D354" s="488">
        <v>100000</v>
      </c>
      <c r="E354" s="488">
        <v>100000</v>
      </c>
      <c r="F354" s="470">
        <f t="shared" si="17"/>
        <v>100000</v>
      </c>
      <c r="G354" s="488"/>
      <c r="H354" s="798"/>
      <c r="I354" s="488">
        <v>100000</v>
      </c>
      <c r="J354" s="488">
        <v>100000</v>
      </c>
      <c r="K354" s="488">
        <v>100000</v>
      </c>
      <c r="L354" s="488"/>
      <c r="M354" s="761"/>
    </row>
    <row r="355" spans="1:13" ht="20.100000000000001" customHeight="1">
      <c r="A355" s="171"/>
      <c r="B355" s="170" t="s">
        <v>933</v>
      </c>
      <c r="C355" s="490"/>
      <c r="D355" s="488">
        <v>20000</v>
      </c>
      <c r="E355" s="488">
        <v>20000</v>
      </c>
      <c r="F355" s="470">
        <f t="shared" si="17"/>
        <v>20000</v>
      </c>
      <c r="G355" s="488"/>
      <c r="H355" s="798"/>
      <c r="I355" s="488"/>
      <c r="J355" s="488"/>
      <c r="K355" s="488"/>
      <c r="L355" s="488"/>
      <c r="M355" s="761"/>
    </row>
    <row r="356" spans="1:13" ht="20.100000000000001" customHeight="1">
      <c r="A356" s="807">
        <v>14</v>
      </c>
      <c r="B356" s="808" t="s">
        <v>441</v>
      </c>
      <c r="C356" s="786">
        <f t="shared" ref="C356:E356" si="18">SUM(C357:C368)</f>
        <v>0</v>
      </c>
      <c r="D356" s="787">
        <f t="shared" si="18"/>
        <v>121000</v>
      </c>
      <c r="E356" s="787">
        <f t="shared" si="18"/>
        <v>113000</v>
      </c>
      <c r="F356" s="466">
        <f t="shared" si="17"/>
        <v>113000</v>
      </c>
      <c r="G356" s="787"/>
      <c r="H356" s="789"/>
      <c r="I356" s="787">
        <f>SUM(I357:I369)</f>
        <v>147500</v>
      </c>
      <c r="J356" s="787">
        <f>SUM(J357:J370)</f>
        <v>152500</v>
      </c>
      <c r="K356" s="787">
        <f>SUM(K357:K370)</f>
        <v>152500</v>
      </c>
      <c r="L356" s="787"/>
      <c r="M356" s="803"/>
    </row>
    <row r="357" spans="1:13" ht="20.100000000000001" customHeight="1">
      <c r="A357" s="171"/>
      <c r="B357" s="170" t="s">
        <v>1385</v>
      </c>
      <c r="C357" s="490"/>
      <c r="D357" s="488">
        <v>9000</v>
      </c>
      <c r="E357" s="488">
        <v>9000</v>
      </c>
      <c r="F357" s="470">
        <f t="shared" si="17"/>
        <v>9000</v>
      </c>
      <c r="G357" s="488"/>
      <c r="H357" s="798"/>
      <c r="I357" s="488">
        <f>6000+5000</f>
        <v>11000</v>
      </c>
      <c r="J357" s="488">
        <v>11000</v>
      </c>
      <c r="K357" s="488">
        <v>11000</v>
      </c>
      <c r="L357" s="488"/>
      <c r="M357" s="622"/>
    </row>
    <row r="358" spans="1:13" ht="20.100000000000001" customHeight="1">
      <c r="A358" s="171"/>
      <c r="B358" s="170" t="s">
        <v>769</v>
      </c>
      <c r="C358" s="490"/>
      <c r="D358" s="488">
        <v>3500</v>
      </c>
      <c r="E358" s="488">
        <v>3500</v>
      </c>
      <c r="F358" s="470">
        <f t="shared" si="17"/>
        <v>3500</v>
      </c>
      <c r="G358" s="488"/>
      <c r="H358" s="798"/>
      <c r="I358" s="488">
        <v>2500</v>
      </c>
      <c r="J358" s="488">
        <v>2500</v>
      </c>
      <c r="K358" s="488">
        <v>2500</v>
      </c>
      <c r="L358" s="488"/>
      <c r="M358" s="622"/>
    </row>
    <row r="359" spans="1:13" ht="20.100000000000001" customHeight="1">
      <c r="A359" s="171"/>
      <c r="B359" s="170" t="s">
        <v>187</v>
      </c>
      <c r="C359" s="490"/>
      <c r="D359" s="488">
        <v>12000</v>
      </c>
      <c r="E359" s="488">
        <v>12000</v>
      </c>
      <c r="F359" s="470">
        <f t="shared" si="17"/>
        <v>12000</v>
      </c>
      <c r="G359" s="488"/>
      <c r="H359" s="798"/>
      <c r="I359" s="488">
        <v>12000</v>
      </c>
      <c r="J359" s="488">
        <v>12000</v>
      </c>
      <c r="K359" s="488">
        <v>12000</v>
      </c>
      <c r="L359" s="488"/>
      <c r="M359" s="622"/>
    </row>
    <row r="360" spans="1:13" ht="20.100000000000001" customHeight="1">
      <c r="A360" s="171"/>
      <c r="B360" s="170" t="s">
        <v>1386</v>
      </c>
      <c r="C360" s="490"/>
      <c r="D360" s="488">
        <v>3000</v>
      </c>
      <c r="E360" s="488">
        <v>3000</v>
      </c>
      <c r="F360" s="470">
        <f t="shared" si="17"/>
        <v>3000</v>
      </c>
      <c r="G360" s="488"/>
      <c r="H360" s="798"/>
      <c r="I360" s="488">
        <f>5*500*2</f>
        <v>5000</v>
      </c>
      <c r="J360" s="488">
        <f>5*500*2</f>
        <v>5000</v>
      </c>
      <c r="K360" s="488">
        <f>5*500*2</f>
        <v>5000</v>
      </c>
      <c r="L360" s="488"/>
      <c r="M360" s="622"/>
    </row>
    <row r="361" spans="1:13" ht="20.100000000000001" customHeight="1">
      <c r="A361" s="171"/>
      <c r="B361" s="170" t="s">
        <v>662</v>
      </c>
      <c r="C361" s="490"/>
      <c r="D361" s="488">
        <v>4000</v>
      </c>
      <c r="E361" s="488">
        <v>4000</v>
      </c>
      <c r="F361" s="470">
        <f t="shared" si="17"/>
        <v>4000</v>
      </c>
      <c r="G361" s="488"/>
      <c r="H361" s="798"/>
      <c r="I361" s="488">
        <v>4000</v>
      </c>
      <c r="J361" s="488">
        <v>4000</v>
      </c>
      <c r="K361" s="488">
        <v>4000</v>
      </c>
      <c r="L361" s="488"/>
      <c r="M361" s="622"/>
    </row>
    <row r="362" spans="1:13" ht="20.100000000000001" customHeight="1">
      <c r="A362" s="171"/>
      <c r="B362" s="170" t="s">
        <v>41</v>
      </c>
      <c r="C362" s="490"/>
      <c r="D362" s="488">
        <v>15000</v>
      </c>
      <c r="E362" s="488">
        <v>15000</v>
      </c>
      <c r="F362" s="470">
        <f t="shared" si="17"/>
        <v>15000</v>
      </c>
      <c r="G362" s="488"/>
      <c r="H362" s="798"/>
      <c r="I362" s="488">
        <v>15000</v>
      </c>
      <c r="J362" s="488">
        <v>15000</v>
      </c>
      <c r="K362" s="488">
        <v>15000</v>
      </c>
      <c r="L362" s="488"/>
      <c r="M362" s="622"/>
    </row>
    <row r="363" spans="1:13" ht="20.100000000000001" customHeight="1">
      <c r="A363" s="171"/>
      <c r="B363" s="170" t="s">
        <v>274</v>
      </c>
      <c r="C363" s="490"/>
      <c r="D363" s="488">
        <v>22000</v>
      </c>
      <c r="E363" s="488">
        <v>20000</v>
      </c>
      <c r="F363" s="470">
        <f t="shared" si="17"/>
        <v>20000</v>
      </c>
      <c r="G363" s="488"/>
      <c r="H363" s="798"/>
      <c r="I363" s="488">
        <v>30000</v>
      </c>
      <c r="J363" s="488">
        <v>30000</v>
      </c>
      <c r="K363" s="488">
        <v>30000</v>
      </c>
      <c r="L363" s="488"/>
      <c r="M363" s="622"/>
    </row>
    <row r="364" spans="1:13" ht="20.100000000000001" customHeight="1">
      <c r="A364" s="173"/>
      <c r="B364" s="170" t="s">
        <v>614</v>
      </c>
      <c r="C364" s="490"/>
      <c r="D364" s="488">
        <v>6500</v>
      </c>
      <c r="E364" s="488">
        <v>6500</v>
      </c>
      <c r="F364" s="470">
        <f t="shared" si="17"/>
        <v>6500</v>
      </c>
      <c r="G364" s="488"/>
      <c r="H364" s="798"/>
      <c r="I364" s="488">
        <v>8000</v>
      </c>
      <c r="J364" s="488">
        <v>8000</v>
      </c>
      <c r="K364" s="488">
        <v>8000</v>
      </c>
      <c r="L364" s="488"/>
      <c r="M364" s="622"/>
    </row>
    <row r="365" spans="1:13" ht="20.100000000000001" customHeight="1">
      <c r="A365" s="173"/>
      <c r="B365" s="170" t="s">
        <v>934</v>
      </c>
      <c r="C365" s="490"/>
      <c r="D365" s="488">
        <v>12000</v>
      </c>
      <c r="E365" s="488">
        <v>10000</v>
      </c>
      <c r="F365" s="470">
        <f t="shared" si="17"/>
        <v>10000</v>
      </c>
      <c r="G365" s="488"/>
      <c r="H365" s="798"/>
      <c r="I365" s="488">
        <v>10000</v>
      </c>
      <c r="J365" s="488">
        <v>10000</v>
      </c>
      <c r="K365" s="488">
        <v>10000</v>
      </c>
      <c r="L365" s="488"/>
      <c r="M365" s="622"/>
    </row>
    <row r="366" spans="1:13" ht="20.100000000000001" customHeight="1">
      <c r="A366" s="173"/>
      <c r="B366" s="170" t="s">
        <v>1387</v>
      </c>
      <c r="C366" s="490"/>
      <c r="D366" s="488">
        <v>12000</v>
      </c>
      <c r="E366" s="488">
        <v>10000</v>
      </c>
      <c r="F366" s="470">
        <f t="shared" si="17"/>
        <v>10000</v>
      </c>
      <c r="G366" s="488"/>
      <c r="H366" s="798"/>
      <c r="I366" s="488">
        <v>20000</v>
      </c>
      <c r="J366" s="488">
        <v>10000</v>
      </c>
      <c r="K366" s="488">
        <v>10000</v>
      </c>
      <c r="L366" s="488"/>
      <c r="M366" s="622"/>
    </row>
    <row r="367" spans="1:13" ht="20.100000000000001" customHeight="1">
      <c r="A367" s="173"/>
      <c r="B367" s="170" t="s">
        <v>710</v>
      </c>
      <c r="C367" s="490"/>
      <c r="D367" s="488">
        <v>10000</v>
      </c>
      <c r="E367" s="488">
        <v>10000</v>
      </c>
      <c r="F367" s="470">
        <f t="shared" si="17"/>
        <v>10000</v>
      </c>
      <c r="G367" s="488"/>
      <c r="H367" s="798"/>
      <c r="I367" s="488">
        <v>10000</v>
      </c>
      <c r="J367" s="488">
        <v>10000</v>
      </c>
      <c r="K367" s="488">
        <v>10000</v>
      </c>
      <c r="L367" s="488"/>
      <c r="M367" s="622"/>
    </row>
    <row r="368" spans="1:13" ht="20.100000000000001" customHeight="1">
      <c r="A368" s="173"/>
      <c r="B368" s="170" t="s">
        <v>275</v>
      </c>
      <c r="C368" s="490"/>
      <c r="D368" s="488">
        <v>12000</v>
      </c>
      <c r="E368" s="488">
        <v>10000</v>
      </c>
      <c r="F368" s="470">
        <f t="shared" si="17"/>
        <v>10000</v>
      </c>
      <c r="G368" s="488"/>
      <c r="H368" s="798"/>
      <c r="I368" s="488">
        <v>10000</v>
      </c>
      <c r="J368" s="488">
        <v>10000</v>
      </c>
      <c r="K368" s="488">
        <v>10000</v>
      </c>
      <c r="L368" s="488"/>
      <c r="M368" s="622"/>
    </row>
    <row r="369" spans="1:13" ht="20.100000000000001" customHeight="1">
      <c r="A369" s="173"/>
      <c r="B369" s="170" t="s">
        <v>1388</v>
      </c>
      <c r="C369" s="490"/>
      <c r="D369" s="488"/>
      <c r="E369" s="488"/>
      <c r="F369" s="470"/>
      <c r="G369" s="488"/>
      <c r="H369" s="798"/>
      <c r="I369" s="488">
        <v>10000</v>
      </c>
      <c r="J369" s="488">
        <v>10000</v>
      </c>
      <c r="K369" s="488">
        <v>10000</v>
      </c>
      <c r="L369" s="488"/>
      <c r="M369" s="622"/>
    </row>
    <row r="370" spans="1:13" ht="20.100000000000001" customHeight="1">
      <c r="A370" s="173"/>
      <c r="B370" s="170" t="s">
        <v>1634</v>
      </c>
      <c r="C370" s="490"/>
      <c r="D370" s="488"/>
      <c r="E370" s="488"/>
      <c r="F370" s="470"/>
      <c r="G370" s="488"/>
      <c r="H370" s="798"/>
      <c r="I370" s="488"/>
      <c r="J370" s="488">
        <v>15000</v>
      </c>
      <c r="K370" s="488">
        <v>15000</v>
      </c>
      <c r="L370" s="488"/>
      <c r="M370" s="622"/>
    </row>
    <row r="371" spans="1:13" ht="20.100000000000001" customHeight="1">
      <c r="A371" s="176">
        <v>15</v>
      </c>
      <c r="B371" s="785" t="s">
        <v>318</v>
      </c>
      <c r="C371" s="471">
        <f t="shared" ref="C371:E371" si="19">C372+C382</f>
        <v>0</v>
      </c>
      <c r="D371" s="472">
        <f t="shared" si="19"/>
        <v>161430</v>
      </c>
      <c r="E371" s="472">
        <f t="shared" si="19"/>
        <v>136430</v>
      </c>
      <c r="F371" s="466">
        <f>E371</f>
        <v>136430</v>
      </c>
      <c r="G371" s="472"/>
      <c r="H371" s="775"/>
      <c r="I371" s="472">
        <f>I372+I382</f>
        <v>268500</v>
      </c>
      <c r="J371" s="472">
        <f>J372+J382</f>
        <v>218500</v>
      </c>
      <c r="K371" s="472">
        <f>K372+K382</f>
        <v>218500</v>
      </c>
      <c r="L371" s="472"/>
      <c r="M371" s="622"/>
    </row>
    <row r="372" spans="1:13" ht="20.100000000000001" customHeight="1">
      <c r="A372" s="171" t="s">
        <v>28</v>
      </c>
      <c r="B372" s="169" t="s">
        <v>319</v>
      </c>
      <c r="C372" s="471">
        <f>SUM(C373:C378)</f>
        <v>0</v>
      </c>
      <c r="D372" s="472">
        <f>SUM(D373:D379)</f>
        <v>71430</v>
      </c>
      <c r="E372" s="472">
        <f>SUM(E373:E379)</f>
        <v>71430</v>
      </c>
      <c r="F372" s="466">
        <f>E372</f>
        <v>71430</v>
      </c>
      <c r="G372" s="472"/>
      <c r="H372" s="775"/>
      <c r="I372" s="472">
        <f>SUM(I373:I381)</f>
        <v>108500</v>
      </c>
      <c r="J372" s="472">
        <f>SUM(J373:J381)</f>
        <v>93500</v>
      </c>
      <c r="K372" s="472">
        <f>SUM(K373:K381)</f>
        <v>93500</v>
      </c>
      <c r="L372" s="472"/>
      <c r="M372" s="622"/>
    </row>
    <row r="373" spans="1:13" ht="20.100000000000001" customHeight="1">
      <c r="A373" s="171"/>
      <c r="B373" s="170" t="s">
        <v>1389</v>
      </c>
      <c r="C373" s="490"/>
      <c r="D373" s="461">
        <v>13500</v>
      </c>
      <c r="E373" s="461">
        <v>13500</v>
      </c>
      <c r="F373" s="470">
        <f t="shared" si="17"/>
        <v>13500</v>
      </c>
      <c r="G373" s="461"/>
      <c r="H373" s="798"/>
      <c r="I373" s="461">
        <f>6000+5500+5000</f>
        <v>16500</v>
      </c>
      <c r="J373" s="461">
        <f>6000+5500+5000</f>
        <v>16500</v>
      </c>
      <c r="K373" s="461">
        <f>6000+5500+5000</f>
        <v>16500</v>
      </c>
      <c r="L373" s="461"/>
      <c r="M373" s="622"/>
    </row>
    <row r="374" spans="1:13" ht="20.100000000000001" customHeight="1">
      <c r="A374" s="171"/>
      <c r="B374" s="170" t="s">
        <v>181</v>
      </c>
      <c r="C374" s="490"/>
      <c r="D374" s="461">
        <v>2500</v>
      </c>
      <c r="E374" s="461">
        <v>2500</v>
      </c>
      <c r="F374" s="470">
        <f t="shared" si="17"/>
        <v>2500</v>
      </c>
      <c r="G374" s="461"/>
      <c r="H374" s="798"/>
      <c r="I374" s="461">
        <v>2500</v>
      </c>
      <c r="J374" s="461">
        <v>2500</v>
      </c>
      <c r="K374" s="461">
        <v>2500</v>
      </c>
      <c r="L374" s="461"/>
      <c r="M374" s="622"/>
    </row>
    <row r="375" spans="1:13" ht="20.100000000000001" customHeight="1">
      <c r="A375" s="171"/>
      <c r="B375" s="170" t="s">
        <v>1390</v>
      </c>
      <c r="C375" s="490"/>
      <c r="D375" s="461">
        <v>4500</v>
      </c>
      <c r="E375" s="461">
        <v>4500</v>
      </c>
      <c r="F375" s="470">
        <f t="shared" si="17"/>
        <v>4500</v>
      </c>
      <c r="G375" s="461"/>
      <c r="H375" s="798"/>
      <c r="I375" s="461">
        <f>3*500*5</f>
        <v>7500</v>
      </c>
      <c r="J375" s="461">
        <f>3*500*5</f>
        <v>7500</v>
      </c>
      <c r="K375" s="461">
        <f>3*500*5</f>
        <v>7500</v>
      </c>
      <c r="L375" s="461"/>
      <c r="M375" s="622"/>
    </row>
    <row r="376" spans="1:13" ht="20.100000000000001" customHeight="1">
      <c r="A376" s="171"/>
      <c r="B376" s="170" t="s">
        <v>1391</v>
      </c>
      <c r="C376" s="490"/>
      <c r="D376" s="461">
        <v>12000</v>
      </c>
      <c r="E376" s="461">
        <v>12000</v>
      </c>
      <c r="F376" s="470">
        <f t="shared" si="17"/>
        <v>12000</v>
      </c>
      <c r="G376" s="461"/>
      <c r="H376" s="798"/>
      <c r="I376" s="461">
        <v>12000</v>
      </c>
      <c r="J376" s="461">
        <v>12000</v>
      </c>
      <c r="K376" s="461">
        <v>12000</v>
      </c>
      <c r="L376" s="461"/>
      <c r="M376" s="622"/>
    </row>
    <row r="377" spans="1:13" ht="20.100000000000001" customHeight="1">
      <c r="A377" s="171"/>
      <c r="B377" s="170" t="s">
        <v>298</v>
      </c>
      <c r="C377" s="490"/>
      <c r="D377" s="461">
        <v>6000</v>
      </c>
      <c r="E377" s="461">
        <v>6000</v>
      </c>
      <c r="F377" s="470">
        <f t="shared" si="17"/>
        <v>6000</v>
      </c>
      <c r="G377" s="461"/>
      <c r="H377" s="798"/>
      <c r="I377" s="461">
        <v>6000</v>
      </c>
      <c r="J377" s="461">
        <v>6000</v>
      </c>
      <c r="K377" s="461">
        <v>6000</v>
      </c>
      <c r="L377" s="461"/>
      <c r="M377" s="622"/>
    </row>
    <row r="378" spans="1:13" ht="20.100000000000001" customHeight="1">
      <c r="A378" s="171"/>
      <c r="B378" s="170" t="s">
        <v>320</v>
      </c>
      <c r="C378" s="490"/>
      <c r="D378" s="461">
        <v>17930</v>
      </c>
      <c r="E378" s="461">
        <v>17930</v>
      </c>
      <c r="F378" s="470">
        <f t="shared" si="17"/>
        <v>17930</v>
      </c>
      <c r="G378" s="461"/>
      <c r="H378" s="798"/>
      <c r="I378" s="461">
        <v>24000</v>
      </c>
      <c r="J378" s="461">
        <v>24000</v>
      </c>
      <c r="K378" s="461">
        <v>24000</v>
      </c>
      <c r="L378" s="461"/>
      <c r="M378" s="622"/>
    </row>
    <row r="379" spans="1:13" ht="20.100000000000001" customHeight="1">
      <c r="A379" s="171"/>
      <c r="B379" s="809" t="s">
        <v>1392</v>
      </c>
      <c r="C379" s="810"/>
      <c r="D379" s="811">
        <v>15000</v>
      </c>
      <c r="E379" s="811">
        <v>15000</v>
      </c>
      <c r="F379" s="801">
        <f t="shared" si="17"/>
        <v>15000</v>
      </c>
      <c r="G379" s="811"/>
      <c r="H379" s="802"/>
      <c r="I379" s="811"/>
      <c r="J379" s="811"/>
      <c r="K379" s="811"/>
      <c r="L379" s="811"/>
      <c r="M379" s="622"/>
    </row>
    <row r="380" spans="1:13" ht="20.100000000000001" customHeight="1">
      <c r="A380" s="171"/>
      <c r="B380" s="809" t="s">
        <v>1393</v>
      </c>
      <c r="C380" s="810"/>
      <c r="D380" s="811"/>
      <c r="E380" s="811"/>
      <c r="F380" s="801"/>
      <c r="G380" s="811"/>
      <c r="H380" s="802"/>
      <c r="I380" s="811">
        <v>25000</v>
      </c>
      <c r="J380" s="811">
        <v>25000</v>
      </c>
      <c r="K380" s="811">
        <v>25000</v>
      </c>
      <c r="L380" s="811"/>
      <c r="M380" s="622"/>
    </row>
    <row r="381" spans="1:13" ht="20.100000000000001" customHeight="1">
      <c r="A381" s="171"/>
      <c r="B381" s="809" t="s">
        <v>1394</v>
      </c>
      <c r="C381" s="810"/>
      <c r="D381" s="811"/>
      <c r="E381" s="811"/>
      <c r="F381" s="801"/>
      <c r="G381" s="811"/>
      <c r="H381" s="802"/>
      <c r="I381" s="811">
        <v>15000</v>
      </c>
      <c r="J381" s="811"/>
      <c r="K381" s="811"/>
      <c r="L381" s="811"/>
      <c r="M381" s="622" t="s">
        <v>1395</v>
      </c>
    </row>
    <row r="382" spans="1:13" ht="20.100000000000001" customHeight="1">
      <c r="A382" s="171" t="s">
        <v>29</v>
      </c>
      <c r="B382" s="169" t="s">
        <v>177</v>
      </c>
      <c r="C382" s="492">
        <f t="shared" ref="C382:E382" si="20">SUM(C383:C386)</f>
        <v>0</v>
      </c>
      <c r="D382" s="491">
        <f t="shared" si="20"/>
        <v>90000</v>
      </c>
      <c r="E382" s="491">
        <f t="shared" si="20"/>
        <v>65000</v>
      </c>
      <c r="F382" s="466">
        <f t="shared" si="17"/>
        <v>65000</v>
      </c>
      <c r="G382" s="491"/>
      <c r="H382" s="799"/>
      <c r="I382" s="491">
        <f>SUM(I383:I388)</f>
        <v>160000</v>
      </c>
      <c r="J382" s="491">
        <f>SUM(J383:J388)</f>
        <v>125000</v>
      </c>
      <c r="K382" s="491">
        <f>SUM(K383:K388)</f>
        <v>125000</v>
      </c>
      <c r="L382" s="491"/>
      <c r="M382" s="622"/>
    </row>
    <row r="383" spans="1:13" ht="20.100000000000001" customHeight="1">
      <c r="A383" s="171"/>
      <c r="B383" s="170" t="s">
        <v>937</v>
      </c>
      <c r="C383" s="490"/>
      <c r="D383" s="488">
        <v>45000</v>
      </c>
      <c r="E383" s="488">
        <f>7*5000</f>
        <v>35000</v>
      </c>
      <c r="F383" s="470">
        <f t="shared" si="17"/>
        <v>35000</v>
      </c>
      <c r="G383" s="488"/>
      <c r="H383" s="798"/>
      <c r="I383" s="488">
        <v>50000</v>
      </c>
      <c r="J383" s="488">
        <v>35000</v>
      </c>
      <c r="K383" s="488">
        <v>35000</v>
      </c>
      <c r="L383" s="488"/>
      <c r="M383" s="761" t="s">
        <v>938</v>
      </c>
    </row>
    <row r="384" spans="1:13" ht="20.100000000000001" customHeight="1">
      <c r="A384" s="171"/>
      <c r="B384" s="170" t="s">
        <v>294</v>
      </c>
      <c r="C384" s="490"/>
      <c r="D384" s="488">
        <v>15000</v>
      </c>
      <c r="E384" s="488">
        <v>10000</v>
      </c>
      <c r="F384" s="470">
        <f t="shared" si="17"/>
        <v>10000</v>
      </c>
      <c r="G384" s="488"/>
      <c r="H384" s="798"/>
      <c r="I384" s="488">
        <v>15000</v>
      </c>
      <c r="J384" s="488">
        <v>10000</v>
      </c>
      <c r="K384" s="488">
        <v>10000</v>
      </c>
      <c r="L384" s="488"/>
      <c r="M384" s="634"/>
    </row>
    <row r="385" spans="1:13" ht="20.100000000000001" customHeight="1">
      <c r="A385" s="171"/>
      <c r="B385" s="170" t="s">
        <v>295</v>
      </c>
      <c r="C385" s="490"/>
      <c r="D385" s="488">
        <v>10000</v>
      </c>
      <c r="E385" s="488">
        <v>10000</v>
      </c>
      <c r="F385" s="470">
        <f t="shared" si="17"/>
        <v>10000</v>
      </c>
      <c r="G385" s="488"/>
      <c r="H385" s="798"/>
      <c r="I385" s="488">
        <v>15000</v>
      </c>
      <c r="J385" s="488">
        <v>10000</v>
      </c>
      <c r="K385" s="488">
        <v>10000</v>
      </c>
      <c r="L385" s="488"/>
      <c r="M385" s="634"/>
    </row>
    <row r="386" spans="1:13" ht="20.100000000000001" customHeight="1">
      <c r="A386" s="171"/>
      <c r="B386" s="170" t="s">
        <v>939</v>
      </c>
      <c r="C386" s="490"/>
      <c r="D386" s="488">
        <v>20000</v>
      </c>
      <c r="E386" s="488">
        <v>10000</v>
      </c>
      <c r="F386" s="470">
        <f t="shared" si="17"/>
        <v>10000</v>
      </c>
      <c r="G386" s="488"/>
      <c r="H386" s="798"/>
      <c r="I386" s="488">
        <v>20000</v>
      </c>
      <c r="J386" s="488">
        <v>10000</v>
      </c>
      <c r="K386" s="488">
        <v>10000</v>
      </c>
      <c r="L386" s="488"/>
      <c r="M386" s="622"/>
    </row>
    <row r="387" spans="1:13" ht="20.100000000000001" customHeight="1">
      <c r="A387" s="171"/>
      <c r="B387" s="170" t="s">
        <v>1396</v>
      </c>
      <c r="C387" s="490"/>
      <c r="D387" s="488"/>
      <c r="E387" s="488"/>
      <c r="F387" s="470"/>
      <c r="G387" s="488"/>
      <c r="H387" s="798"/>
      <c r="I387" s="488">
        <v>10000</v>
      </c>
      <c r="J387" s="488">
        <v>10000</v>
      </c>
      <c r="K387" s="488">
        <v>10000</v>
      </c>
      <c r="L387" s="488"/>
      <c r="M387" s="622"/>
    </row>
    <row r="388" spans="1:13" ht="20.100000000000001" customHeight="1">
      <c r="A388" s="171"/>
      <c r="B388" s="170" t="s">
        <v>1397</v>
      </c>
      <c r="C388" s="490"/>
      <c r="D388" s="488"/>
      <c r="E388" s="488"/>
      <c r="F388" s="470"/>
      <c r="G388" s="488"/>
      <c r="H388" s="798"/>
      <c r="I388" s="488">
        <v>50000</v>
      </c>
      <c r="J388" s="488">
        <v>50000</v>
      </c>
      <c r="K388" s="488">
        <v>50000</v>
      </c>
      <c r="L388" s="488"/>
      <c r="M388" s="622" t="s">
        <v>1398</v>
      </c>
    </row>
    <row r="389" spans="1:13" ht="20.100000000000001" customHeight="1">
      <c r="A389" s="176">
        <v>16</v>
      </c>
      <c r="B389" s="785" t="s">
        <v>265</v>
      </c>
      <c r="C389" s="786">
        <f>SUM(C390:C402)</f>
        <v>0</v>
      </c>
      <c r="D389" s="787">
        <f>SUM(D390:D406)</f>
        <v>343500</v>
      </c>
      <c r="E389" s="787">
        <f>SUM(E390:E406)</f>
        <v>293500</v>
      </c>
      <c r="F389" s="466">
        <f t="shared" si="17"/>
        <v>293500</v>
      </c>
      <c r="G389" s="787"/>
      <c r="H389" s="789"/>
      <c r="I389" s="787">
        <f>SUM(I390:I409)</f>
        <v>429500</v>
      </c>
      <c r="J389" s="787">
        <f>SUM(J390:J409)</f>
        <v>249500</v>
      </c>
      <c r="K389" s="787">
        <f>SUM(K390:K409)</f>
        <v>249500</v>
      </c>
      <c r="L389" s="787"/>
      <c r="M389" s="803"/>
    </row>
    <row r="390" spans="1:13" ht="20.100000000000001" customHeight="1">
      <c r="A390" s="171"/>
      <c r="B390" s="170" t="s">
        <v>1399</v>
      </c>
      <c r="C390" s="490"/>
      <c r="D390" s="488">
        <v>13500</v>
      </c>
      <c r="E390" s="488">
        <v>13500</v>
      </c>
      <c r="F390" s="470">
        <f t="shared" si="17"/>
        <v>13500</v>
      </c>
      <c r="G390" s="488"/>
      <c r="H390" s="798"/>
      <c r="I390" s="488">
        <f>6000+5500+5000</f>
        <v>16500</v>
      </c>
      <c r="J390" s="488">
        <v>16500</v>
      </c>
      <c r="K390" s="488">
        <v>16500</v>
      </c>
      <c r="L390" s="488"/>
      <c r="M390" s="622"/>
    </row>
    <row r="391" spans="1:13" ht="20.100000000000001" customHeight="1">
      <c r="A391" s="171"/>
      <c r="B391" s="170" t="s">
        <v>64</v>
      </c>
      <c r="C391" s="490"/>
      <c r="D391" s="488">
        <v>5500</v>
      </c>
      <c r="E391" s="488">
        <v>5500</v>
      </c>
      <c r="F391" s="470">
        <f t="shared" si="17"/>
        <v>5500</v>
      </c>
      <c r="G391" s="488"/>
      <c r="H391" s="798"/>
      <c r="I391" s="488">
        <v>5500</v>
      </c>
      <c r="J391" s="488">
        <v>5500</v>
      </c>
      <c r="K391" s="488">
        <v>5500</v>
      </c>
      <c r="L391" s="488"/>
      <c r="M391" s="622"/>
    </row>
    <row r="392" spans="1:13" ht="20.100000000000001" customHeight="1">
      <c r="A392" s="171"/>
      <c r="B392" s="170" t="s">
        <v>1400</v>
      </c>
      <c r="C392" s="490"/>
      <c r="D392" s="488">
        <v>4500</v>
      </c>
      <c r="E392" s="488">
        <v>4500</v>
      </c>
      <c r="F392" s="470">
        <f t="shared" si="17"/>
        <v>4500</v>
      </c>
      <c r="G392" s="488"/>
      <c r="H392" s="798"/>
      <c r="I392" s="488">
        <f>500*5*3</f>
        <v>7500</v>
      </c>
      <c r="J392" s="488">
        <v>7500</v>
      </c>
      <c r="K392" s="488">
        <v>7500</v>
      </c>
      <c r="L392" s="488"/>
      <c r="M392" s="622"/>
    </row>
    <row r="393" spans="1:13" ht="20.100000000000001" customHeight="1">
      <c r="A393" s="171"/>
      <c r="B393" s="170" t="s">
        <v>388</v>
      </c>
      <c r="C393" s="490"/>
      <c r="D393" s="488">
        <v>6000</v>
      </c>
      <c r="E393" s="488">
        <v>6000</v>
      </c>
      <c r="F393" s="470">
        <f t="shared" si="17"/>
        <v>6000</v>
      </c>
      <c r="G393" s="488"/>
      <c r="H393" s="798"/>
      <c r="I393" s="488">
        <v>6000</v>
      </c>
      <c r="J393" s="488">
        <v>6000</v>
      </c>
      <c r="K393" s="488">
        <v>6000</v>
      </c>
      <c r="L393" s="488"/>
      <c r="M393" s="622"/>
    </row>
    <row r="394" spans="1:13" ht="20.100000000000001" customHeight="1">
      <c r="A394" s="171"/>
      <c r="B394" s="170" t="s">
        <v>362</v>
      </c>
      <c r="C394" s="490"/>
      <c r="D394" s="488">
        <v>12000</v>
      </c>
      <c r="E394" s="488">
        <v>12000</v>
      </c>
      <c r="F394" s="470">
        <f t="shared" si="17"/>
        <v>12000</v>
      </c>
      <c r="G394" s="488"/>
      <c r="H394" s="798"/>
      <c r="I394" s="488">
        <v>12000</v>
      </c>
      <c r="J394" s="488">
        <v>12000</v>
      </c>
      <c r="K394" s="488">
        <v>12000</v>
      </c>
      <c r="L394" s="488"/>
      <c r="M394" s="622"/>
    </row>
    <row r="395" spans="1:13" ht="20.100000000000001" customHeight="1">
      <c r="A395" s="173"/>
      <c r="B395" s="170" t="s">
        <v>940</v>
      </c>
      <c r="C395" s="490"/>
      <c r="D395" s="488">
        <v>50000</v>
      </c>
      <c r="E395" s="488">
        <v>50000</v>
      </c>
      <c r="F395" s="470">
        <f t="shared" si="17"/>
        <v>50000</v>
      </c>
      <c r="G395" s="488"/>
      <c r="H395" s="798"/>
      <c r="I395" s="488">
        <v>50000</v>
      </c>
      <c r="J395" s="488">
        <v>50000</v>
      </c>
      <c r="K395" s="488">
        <v>50000</v>
      </c>
      <c r="L395" s="488"/>
      <c r="M395" s="622"/>
    </row>
    <row r="396" spans="1:13" ht="20.100000000000001" customHeight="1">
      <c r="A396" s="173"/>
      <c r="B396" s="170" t="s">
        <v>3</v>
      </c>
      <c r="C396" s="490"/>
      <c r="D396" s="488">
        <v>10000</v>
      </c>
      <c r="E396" s="488">
        <v>10000</v>
      </c>
      <c r="F396" s="470">
        <f t="shared" si="17"/>
        <v>10000</v>
      </c>
      <c r="G396" s="488"/>
      <c r="H396" s="798"/>
      <c r="I396" s="488">
        <v>10000</v>
      </c>
      <c r="J396" s="488">
        <v>10000</v>
      </c>
      <c r="K396" s="488">
        <v>10000</v>
      </c>
      <c r="L396" s="488"/>
      <c r="M396" s="622"/>
    </row>
    <row r="397" spans="1:13" ht="20.100000000000001" customHeight="1">
      <c r="A397" s="173"/>
      <c r="B397" s="170" t="s">
        <v>169</v>
      </c>
      <c r="C397" s="490"/>
      <c r="D397" s="488">
        <v>10000</v>
      </c>
      <c r="E397" s="488">
        <v>10000</v>
      </c>
      <c r="F397" s="470">
        <f t="shared" si="17"/>
        <v>10000</v>
      </c>
      <c r="G397" s="488"/>
      <c r="H397" s="798"/>
      <c r="I397" s="488">
        <v>10000</v>
      </c>
      <c r="J397" s="488">
        <v>10000</v>
      </c>
      <c r="K397" s="488">
        <v>10000</v>
      </c>
      <c r="L397" s="488"/>
      <c r="M397" s="622"/>
    </row>
    <row r="398" spans="1:13" ht="20.100000000000001" customHeight="1">
      <c r="A398" s="173"/>
      <c r="B398" s="170" t="s">
        <v>266</v>
      </c>
      <c r="C398" s="490"/>
      <c r="D398" s="488">
        <v>10000</v>
      </c>
      <c r="E398" s="488">
        <v>10000</v>
      </c>
      <c r="F398" s="470">
        <f t="shared" si="17"/>
        <v>10000</v>
      </c>
      <c r="G398" s="488"/>
      <c r="H398" s="798"/>
      <c r="I398" s="488">
        <v>10000</v>
      </c>
      <c r="J398" s="488">
        <v>10000</v>
      </c>
      <c r="K398" s="488">
        <v>10000</v>
      </c>
      <c r="L398" s="488"/>
      <c r="M398" s="622"/>
    </row>
    <row r="399" spans="1:13" ht="20.100000000000001" customHeight="1">
      <c r="A399" s="171"/>
      <c r="B399" s="170" t="s">
        <v>941</v>
      </c>
      <c r="C399" s="490"/>
      <c r="D399" s="488">
        <v>24000</v>
      </c>
      <c r="E399" s="488">
        <v>24000</v>
      </c>
      <c r="F399" s="470">
        <f t="shared" si="17"/>
        <v>24000</v>
      </c>
      <c r="G399" s="488"/>
      <c r="H399" s="798"/>
      <c r="I399" s="488">
        <v>24000</v>
      </c>
      <c r="J399" s="488">
        <v>24000</v>
      </c>
      <c r="K399" s="488">
        <v>24000</v>
      </c>
      <c r="L399" s="488"/>
      <c r="M399" s="622"/>
    </row>
    <row r="400" spans="1:13" ht="20.100000000000001" customHeight="1">
      <c r="A400" s="171"/>
      <c r="B400" s="170" t="s">
        <v>206</v>
      </c>
      <c r="C400" s="490"/>
      <c r="D400" s="488"/>
      <c r="E400" s="488"/>
      <c r="F400" s="470"/>
      <c r="G400" s="488"/>
      <c r="H400" s="798"/>
      <c r="I400" s="488"/>
      <c r="J400" s="488"/>
      <c r="K400" s="488"/>
      <c r="L400" s="488"/>
      <c r="M400" s="622"/>
    </row>
    <row r="401" spans="1:13" ht="20.100000000000001" customHeight="1">
      <c r="A401" s="171"/>
      <c r="B401" s="170" t="s">
        <v>521</v>
      </c>
      <c r="C401" s="490"/>
      <c r="D401" s="488">
        <v>38000</v>
      </c>
      <c r="E401" s="488">
        <v>38000</v>
      </c>
      <c r="F401" s="470">
        <f t="shared" si="17"/>
        <v>38000</v>
      </c>
      <c r="G401" s="488"/>
      <c r="H401" s="798"/>
      <c r="I401" s="488">
        <v>38000</v>
      </c>
      <c r="J401" s="488">
        <v>38000</v>
      </c>
      <c r="K401" s="488">
        <v>38000</v>
      </c>
      <c r="L401" s="488"/>
      <c r="M401" s="622"/>
    </row>
    <row r="402" spans="1:13" ht="20.100000000000001" customHeight="1">
      <c r="A402" s="171"/>
      <c r="B402" s="170" t="s">
        <v>239</v>
      </c>
      <c r="C402" s="490"/>
      <c r="D402" s="488">
        <v>10000</v>
      </c>
      <c r="E402" s="488">
        <v>10000</v>
      </c>
      <c r="F402" s="470">
        <f>E402</f>
        <v>10000</v>
      </c>
      <c r="G402" s="488"/>
      <c r="H402" s="798"/>
      <c r="I402" s="488">
        <v>10000</v>
      </c>
      <c r="J402" s="488">
        <v>10000</v>
      </c>
      <c r="K402" s="488">
        <v>10000</v>
      </c>
      <c r="L402" s="488"/>
      <c r="M402" s="622"/>
    </row>
    <row r="403" spans="1:13" ht="20.100000000000001" customHeight="1">
      <c r="A403" s="171"/>
      <c r="B403" s="170" t="s">
        <v>942</v>
      </c>
      <c r="C403" s="490"/>
      <c r="D403" s="488">
        <v>10000</v>
      </c>
      <c r="E403" s="488">
        <v>10000</v>
      </c>
      <c r="F403" s="470">
        <f t="shared" si="17"/>
        <v>10000</v>
      </c>
      <c r="G403" s="488"/>
      <c r="H403" s="798"/>
      <c r="I403" s="488">
        <v>10000</v>
      </c>
      <c r="J403" s="488">
        <v>10000</v>
      </c>
      <c r="K403" s="488">
        <v>10000</v>
      </c>
      <c r="L403" s="488"/>
      <c r="M403" s="622"/>
    </row>
    <row r="404" spans="1:13" ht="20.100000000000001" customHeight="1">
      <c r="A404" s="171"/>
      <c r="B404" s="476" t="s">
        <v>943</v>
      </c>
      <c r="C404" s="490"/>
      <c r="D404" s="800">
        <v>50000</v>
      </c>
      <c r="E404" s="800"/>
      <c r="F404" s="801">
        <f t="shared" si="17"/>
        <v>0</v>
      </c>
      <c r="G404" s="800"/>
      <c r="H404" s="802"/>
      <c r="I404" s="800"/>
      <c r="J404" s="800"/>
      <c r="K404" s="800"/>
      <c r="L404" s="800"/>
      <c r="M404" s="812" t="s">
        <v>944</v>
      </c>
    </row>
    <row r="405" spans="1:13" ht="20.100000000000001" customHeight="1">
      <c r="A405" s="171"/>
      <c r="B405" s="813" t="s">
        <v>945</v>
      </c>
      <c r="C405" s="810"/>
      <c r="D405" s="800">
        <v>40000</v>
      </c>
      <c r="E405" s="800">
        <v>40000</v>
      </c>
      <c r="F405" s="801">
        <f t="shared" si="17"/>
        <v>40000</v>
      </c>
      <c r="G405" s="800"/>
      <c r="H405" s="802"/>
      <c r="I405" s="800">
        <v>40000</v>
      </c>
      <c r="J405" s="800">
        <v>40000</v>
      </c>
      <c r="K405" s="800">
        <v>40000</v>
      </c>
      <c r="L405" s="800"/>
      <c r="M405" s="815"/>
    </row>
    <row r="406" spans="1:13" ht="20.100000000000001" customHeight="1">
      <c r="A406" s="171"/>
      <c r="B406" s="813" t="s">
        <v>946</v>
      </c>
      <c r="C406" s="810"/>
      <c r="D406" s="800">
        <v>50000</v>
      </c>
      <c r="E406" s="800">
        <v>50000</v>
      </c>
      <c r="F406" s="801">
        <f t="shared" si="17"/>
        <v>50000</v>
      </c>
      <c r="G406" s="800"/>
      <c r="H406" s="802"/>
      <c r="I406" s="800"/>
      <c r="J406" s="800"/>
      <c r="K406" s="800"/>
      <c r="L406" s="800"/>
      <c r="M406" s="815"/>
    </row>
    <row r="407" spans="1:13" ht="20.100000000000001" customHeight="1">
      <c r="A407" s="171"/>
      <c r="B407" s="813" t="s">
        <v>1401</v>
      </c>
      <c r="C407" s="810"/>
      <c r="D407" s="800"/>
      <c r="E407" s="800"/>
      <c r="F407" s="801"/>
      <c r="G407" s="800"/>
      <c r="H407" s="802"/>
      <c r="I407" s="800">
        <v>100000</v>
      </c>
      <c r="J407" s="800"/>
      <c r="K407" s="800"/>
      <c r="L407" s="800"/>
      <c r="M407" s="1185" t="s">
        <v>1402</v>
      </c>
    </row>
    <row r="408" spans="1:13" ht="20.100000000000001" customHeight="1">
      <c r="A408" s="171"/>
      <c r="B408" s="813" t="s">
        <v>1401</v>
      </c>
      <c r="C408" s="810"/>
      <c r="D408" s="800"/>
      <c r="E408" s="800"/>
      <c r="F408" s="801"/>
      <c r="G408" s="800"/>
      <c r="H408" s="802"/>
      <c r="I408" s="800">
        <v>70000</v>
      </c>
      <c r="J408" s="800"/>
      <c r="K408" s="800"/>
      <c r="L408" s="800"/>
      <c r="M408" s="1186"/>
    </row>
    <row r="409" spans="1:13" ht="20.100000000000001" customHeight="1">
      <c r="A409" s="171"/>
      <c r="B409" s="813" t="s">
        <v>1403</v>
      </c>
      <c r="C409" s="810"/>
      <c r="D409" s="800"/>
      <c r="E409" s="800"/>
      <c r="F409" s="801"/>
      <c r="G409" s="800"/>
      <c r="H409" s="802"/>
      <c r="I409" s="800">
        <v>10000</v>
      </c>
      <c r="J409" s="800"/>
      <c r="K409" s="800"/>
      <c r="L409" s="814"/>
      <c r="M409" s="1187"/>
    </row>
    <row r="410" spans="1:13" ht="20.100000000000001" customHeight="1">
      <c r="A410" s="176">
        <v>17</v>
      </c>
      <c r="B410" s="808" t="s">
        <v>947</v>
      </c>
      <c r="C410" s="816">
        <f t="shared" ref="C410:E410" si="21">SUM(C411:C415)</f>
        <v>0</v>
      </c>
      <c r="D410" s="788">
        <f t="shared" si="21"/>
        <v>62000</v>
      </c>
      <c r="E410" s="788">
        <f t="shared" si="21"/>
        <v>62000</v>
      </c>
      <c r="F410" s="466">
        <f t="shared" ref="F410:F473" si="22">E410</f>
        <v>62000</v>
      </c>
      <c r="G410" s="788"/>
      <c r="H410" s="817"/>
      <c r="I410" s="788">
        <f>SUM(I411:I415)</f>
        <v>72000</v>
      </c>
      <c r="J410" s="788">
        <f>SUM(J411:J415)</f>
        <v>72000</v>
      </c>
      <c r="K410" s="788">
        <f>SUM(K411:K415)</f>
        <v>72000</v>
      </c>
      <c r="L410" s="788"/>
      <c r="M410" s="818"/>
    </row>
    <row r="411" spans="1:13" ht="20.100000000000001" customHeight="1">
      <c r="A411" s="171"/>
      <c r="B411" s="170" t="s">
        <v>1404</v>
      </c>
      <c r="C411" s="490"/>
      <c r="D411" s="488">
        <f>5000+2*4500+2*4000</f>
        <v>22000</v>
      </c>
      <c r="E411" s="488">
        <f>D411</f>
        <v>22000</v>
      </c>
      <c r="F411" s="470">
        <f t="shared" si="22"/>
        <v>22000</v>
      </c>
      <c r="G411" s="488"/>
      <c r="H411" s="798"/>
      <c r="I411" s="488">
        <f>6000+2*5500+2*5000</f>
        <v>27000</v>
      </c>
      <c r="J411" s="488">
        <v>27000</v>
      </c>
      <c r="K411" s="488">
        <v>27000</v>
      </c>
      <c r="L411" s="488"/>
      <c r="M411" s="622"/>
    </row>
    <row r="412" spans="1:13" ht="20.100000000000001" customHeight="1">
      <c r="A412" s="171"/>
      <c r="B412" s="170" t="s">
        <v>49</v>
      </c>
      <c r="C412" s="490"/>
      <c r="D412" s="488">
        <v>10500</v>
      </c>
      <c r="E412" s="488">
        <f>D412</f>
        <v>10500</v>
      </c>
      <c r="F412" s="470">
        <f t="shared" si="22"/>
        <v>10500</v>
      </c>
      <c r="G412" s="488"/>
      <c r="H412" s="798"/>
      <c r="I412" s="488">
        <v>10500</v>
      </c>
      <c r="J412" s="488">
        <v>10500</v>
      </c>
      <c r="K412" s="488">
        <v>10500</v>
      </c>
      <c r="L412" s="488"/>
      <c r="M412" s="622"/>
    </row>
    <row r="413" spans="1:13" ht="20.100000000000001" customHeight="1">
      <c r="A413" s="171"/>
      <c r="B413" s="170" t="s">
        <v>1405</v>
      </c>
      <c r="C413" s="490"/>
      <c r="D413" s="488">
        <f>5*300*5</f>
        <v>7500</v>
      </c>
      <c r="E413" s="488">
        <f>D413</f>
        <v>7500</v>
      </c>
      <c r="F413" s="470">
        <f t="shared" si="22"/>
        <v>7500</v>
      </c>
      <c r="G413" s="488"/>
      <c r="H413" s="798"/>
      <c r="I413" s="488">
        <f>5*500*5</f>
        <v>12500</v>
      </c>
      <c r="J413" s="488">
        <v>12500</v>
      </c>
      <c r="K413" s="488">
        <v>12500</v>
      </c>
      <c r="L413" s="488"/>
      <c r="M413" s="622"/>
    </row>
    <row r="414" spans="1:13" ht="20.100000000000001" customHeight="1">
      <c r="A414" s="171"/>
      <c r="B414" s="170" t="s">
        <v>950</v>
      </c>
      <c r="C414" s="490"/>
      <c r="D414" s="488">
        <v>10000</v>
      </c>
      <c r="E414" s="488">
        <f>D414</f>
        <v>10000</v>
      </c>
      <c r="F414" s="470">
        <f t="shared" si="22"/>
        <v>10000</v>
      </c>
      <c r="G414" s="488"/>
      <c r="H414" s="798"/>
      <c r="I414" s="488">
        <v>10000</v>
      </c>
      <c r="J414" s="488">
        <v>10000</v>
      </c>
      <c r="K414" s="488">
        <v>10000</v>
      </c>
      <c r="L414" s="488"/>
      <c r="M414" s="622"/>
    </row>
    <row r="415" spans="1:13" ht="20.100000000000001" customHeight="1">
      <c r="A415" s="171"/>
      <c r="B415" s="170" t="s">
        <v>363</v>
      </c>
      <c r="C415" s="490"/>
      <c r="D415" s="488">
        <v>12000</v>
      </c>
      <c r="E415" s="488">
        <f>D415</f>
        <v>12000</v>
      </c>
      <c r="F415" s="470">
        <f t="shared" si="22"/>
        <v>12000</v>
      </c>
      <c r="G415" s="488"/>
      <c r="H415" s="798"/>
      <c r="I415" s="488">
        <v>12000</v>
      </c>
      <c r="J415" s="488">
        <v>12000</v>
      </c>
      <c r="K415" s="488">
        <v>12000</v>
      </c>
      <c r="L415" s="488"/>
      <c r="M415" s="622"/>
    </row>
    <row r="416" spans="1:13" ht="20.100000000000001" customHeight="1">
      <c r="A416" s="176">
        <v>18</v>
      </c>
      <c r="B416" s="785" t="s">
        <v>810</v>
      </c>
      <c r="C416" s="786">
        <f t="shared" ref="C416:E416" si="23">SUM(C417:C421)</f>
        <v>0</v>
      </c>
      <c r="D416" s="787">
        <f t="shared" si="23"/>
        <v>56000</v>
      </c>
      <c r="E416" s="787">
        <f t="shared" si="23"/>
        <v>56000</v>
      </c>
      <c r="F416" s="466">
        <f>E416</f>
        <v>56000</v>
      </c>
      <c r="G416" s="787"/>
      <c r="H416" s="789"/>
      <c r="I416" s="787">
        <f>SUM(I417:I421)</f>
        <v>57500</v>
      </c>
      <c r="J416" s="787">
        <f>SUM(J417:J421)</f>
        <v>56000</v>
      </c>
      <c r="K416" s="787">
        <f>SUM(K417:K421)</f>
        <v>56000</v>
      </c>
      <c r="L416" s="787"/>
      <c r="M416" s="622"/>
    </row>
    <row r="417" spans="1:13" ht="20.100000000000001" customHeight="1">
      <c r="A417" s="171"/>
      <c r="B417" s="170" t="s">
        <v>1406</v>
      </c>
      <c r="C417" s="490"/>
      <c r="D417" s="488">
        <v>21500</v>
      </c>
      <c r="E417" s="488">
        <v>21500</v>
      </c>
      <c r="F417" s="470">
        <f t="shared" si="22"/>
        <v>21500</v>
      </c>
      <c r="G417" s="488"/>
      <c r="H417" s="798"/>
      <c r="I417" s="488">
        <f>5500+3*5000</f>
        <v>20500</v>
      </c>
      <c r="J417" s="488">
        <f>6000+3*5000</f>
        <v>21000</v>
      </c>
      <c r="K417" s="488">
        <f>6000+3*5000</f>
        <v>21000</v>
      </c>
      <c r="L417" s="488"/>
      <c r="M417" s="622"/>
    </row>
    <row r="418" spans="1:13" ht="20.100000000000001" customHeight="1">
      <c r="A418" s="171"/>
      <c r="B418" s="170" t="s">
        <v>144</v>
      </c>
      <c r="C418" s="490"/>
      <c r="D418" s="488">
        <v>5000</v>
      </c>
      <c r="E418" s="488">
        <v>5000</v>
      </c>
      <c r="F418" s="470">
        <f t="shared" si="22"/>
        <v>5000</v>
      </c>
      <c r="G418" s="488"/>
      <c r="H418" s="798"/>
      <c r="I418" s="488">
        <v>5000</v>
      </c>
      <c r="J418" s="488">
        <v>5000</v>
      </c>
      <c r="K418" s="488">
        <v>5000</v>
      </c>
      <c r="L418" s="488"/>
      <c r="M418" s="622"/>
    </row>
    <row r="419" spans="1:13" ht="20.100000000000001" customHeight="1">
      <c r="A419" s="171"/>
      <c r="B419" s="170" t="s">
        <v>1407</v>
      </c>
      <c r="C419" s="490"/>
      <c r="D419" s="488">
        <v>7500</v>
      </c>
      <c r="E419" s="488">
        <v>7500</v>
      </c>
      <c r="F419" s="470">
        <f t="shared" si="22"/>
        <v>7500</v>
      </c>
      <c r="G419" s="488"/>
      <c r="H419" s="798"/>
      <c r="I419" s="488">
        <f>5*500*4</f>
        <v>10000</v>
      </c>
      <c r="J419" s="488">
        <f>5*500*4</f>
        <v>10000</v>
      </c>
      <c r="K419" s="488">
        <f>5*500*4</f>
        <v>10000</v>
      </c>
      <c r="L419" s="488"/>
      <c r="M419" s="622"/>
    </row>
    <row r="420" spans="1:13" ht="20.100000000000001" customHeight="1">
      <c r="A420" s="171"/>
      <c r="B420" s="170" t="s">
        <v>145</v>
      </c>
      <c r="C420" s="490"/>
      <c r="D420" s="488">
        <v>10000</v>
      </c>
      <c r="E420" s="488">
        <v>10000</v>
      </c>
      <c r="F420" s="470">
        <f t="shared" si="22"/>
        <v>10000</v>
      </c>
      <c r="G420" s="488"/>
      <c r="H420" s="798"/>
      <c r="I420" s="488">
        <v>10000</v>
      </c>
      <c r="J420" s="488">
        <v>8000</v>
      </c>
      <c r="K420" s="488">
        <v>8000</v>
      </c>
      <c r="L420" s="488"/>
      <c r="M420" s="622"/>
    </row>
    <row r="421" spans="1:13" ht="20.100000000000001" customHeight="1">
      <c r="A421" s="171"/>
      <c r="B421" s="170" t="s">
        <v>1408</v>
      </c>
      <c r="C421" s="490"/>
      <c r="D421" s="488">
        <v>12000</v>
      </c>
      <c r="E421" s="488">
        <v>12000</v>
      </c>
      <c r="F421" s="470">
        <f t="shared" si="22"/>
        <v>12000</v>
      </c>
      <c r="G421" s="488"/>
      <c r="H421" s="798"/>
      <c r="I421" s="488">
        <v>12000</v>
      </c>
      <c r="J421" s="488">
        <v>12000</v>
      </c>
      <c r="K421" s="488">
        <v>12000</v>
      </c>
      <c r="L421" s="488"/>
      <c r="M421" s="622"/>
    </row>
    <row r="422" spans="1:13" ht="20.100000000000001" customHeight="1">
      <c r="A422" s="176">
        <v>19</v>
      </c>
      <c r="B422" s="785" t="s">
        <v>582</v>
      </c>
      <c r="C422" s="471">
        <f t="shared" ref="C422:D422" si="24">SUM(C423:C428)</f>
        <v>0</v>
      </c>
      <c r="D422" s="472">
        <f t="shared" si="24"/>
        <v>71000</v>
      </c>
      <c r="E422" s="472">
        <f>SUM(E423:E428)</f>
        <v>71000</v>
      </c>
      <c r="F422" s="466">
        <f t="shared" si="22"/>
        <v>71000</v>
      </c>
      <c r="G422" s="472"/>
      <c r="H422" s="775"/>
      <c r="I422" s="472">
        <f>SUM(I423:I428)</f>
        <v>64000</v>
      </c>
      <c r="J422" s="472">
        <f>SUM(J423:J428)</f>
        <v>64000</v>
      </c>
      <c r="K422" s="472">
        <f>SUM(K423:K428)</f>
        <v>64000</v>
      </c>
      <c r="L422" s="472"/>
      <c r="M422" s="622"/>
    </row>
    <row r="423" spans="1:13" ht="20.100000000000001" customHeight="1">
      <c r="A423" s="171"/>
      <c r="B423" s="170" t="s">
        <v>1409</v>
      </c>
      <c r="C423" s="490"/>
      <c r="D423" s="488">
        <f>5000+4500+3*4000</f>
        <v>21500</v>
      </c>
      <c r="E423" s="488">
        <v>21500</v>
      </c>
      <c r="F423" s="470">
        <f t="shared" si="22"/>
        <v>21500</v>
      </c>
      <c r="G423" s="488"/>
      <c r="H423" s="798"/>
      <c r="I423" s="488">
        <f>6000+5500+3*5000</f>
        <v>26500</v>
      </c>
      <c r="J423" s="488">
        <v>26500</v>
      </c>
      <c r="K423" s="488">
        <v>26500</v>
      </c>
      <c r="L423" s="488"/>
      <c r="M423" s="622"/>
    </row>
    <row r="424" spans="1:13" ht="20.100000000000001" customHeight="1">
      <c r="A424" s="171"/>
      <c r="B424" s="170" t="s">
        <v>568</v>
      </c>
      <c r="C424" s="490"/>
      <c r="D424" s="488">
        <v>3000</v>
      </c>
      <c r="E424" s="488">
        <v>3000</v>
      </c>
      <c r="F424" s="470">
        <f t="shared" si="22"/>
        <v>3000</v>
      </c>
      <c r="G424" s="488"/>
      <c r="H424" s="798"/>
      <c r="I424" s="488">
        <v>3000</v>
      </c>
      <c r="J424" s="488">
        <v>3000</v>
      </c>
      <c r="K424" s="488">
        <v>3000</v>
      </c>
      <c r="L424" s="488"/>
      <c r="M424" s="622"/>
    </row>
    <row r="425" spans="1:13" ht="20.100000000000001" customHeight="1">
      <c r="A425" s="171"/>
      <c r="B425" s="170" t="s">
        <v>1407</v>
      </c>
      <c r="C425" s="490"/>
      <c r="D425" s="488">
        <f>5*300*5</f>
        <v>7500</v>
      </c>
      <c r="E425" s="488">
        <v>7500</v>
      </c>
      <c r="F425" s="470">
        <f t="shared" si="22"/>
        <v>7500</v>
      </c>
      <c r="G425" s="488"/>
      <c r="H425" s="798"/>
      <c r="I425" s="488">
        <f>5*500*5</f>
        <v>12500</v>
      </c>
      <c r="J425" s="488">
        <f>5*500*5</f>
        <v>12500</v>
      </c>
      <c r="K425" s="488">
        <f>5*500*5</f>
        <v>12500</v>
      </c>
      <c r="L425" s="488"/>
      <c r="M425" s="622"/>
    </row>
    <row r="426" spans="1:13" ht="20.100000000000001" customHeight="1">
      <c r="A426" s="171"/>
      <c r="B426" s="170" t="s">
        <v>365</v>
      </c>
      <c r="C426" s="490"/>
      <c r="D426" s="488">
        <v>12000</v>
      </c>
      <c r="E426" s="488">
        <v>12000</v>
      </c>
      <c r="F426" s="470">
        <f t="shared" si="22"/>
        <v>12000</v>
      </c>
      <c r="G426" s="488"/>
      <c r="H426" s="798"/>
      <c r="I426" s="488">
        <v>12000</v>
      </c>
      <c r="J426" s="488">
        <v>12000</v>
      </c>
      <c r="K426" s="488">
        <v>12000</v>
      </c>
      <c r="L426" s="488"/>
      <c r="M426" s="622"/>
    </row>
    <row r="427" spans="1:13" ht="20.100000000000001" customHeight="1">
      <c r="A427" s="173"/>
      <c r="B427" s="170" t="s">
        <v>952</v>
      </c>
      <c r="C427" s="490"/>
      <c r="D427" s="488">
        <v>10000</v>
      </c>
      <c r="E427" s="488">
        <v>10000</v>
      </c>
      <c r="F427" s="470">
        <f t="shared" si="22"/>
        <v>10000</v>
      </c>
      <c r="G427" s="488"/>
      <c r="H427" s="798"/>
      <c r="I427" s="488">
        <v>10000</v>
      </c>
      <c r="J427" s="488">
        <v>10000</v>
      </c>
      <c r="K427" s="488">
        <v>10000</v>
      </c>
      <c r="L427" s="488"/>
      <c r="M427" s="622"/>
    </row>
    <row r="428" spans="1:13" ht="20.100000000000001" customHeight="1">
      <c r="A428" s="173"/>
      <c r="B428" s="170" t="s">
        <v>953</v>
      </c>
      <c r="C428" s="490"/>
      <c r="D428" s="488">
        <v>17000</v>
      </c>
      <c r="E428" s="488">
        <f>13000+3000+1000</f>
        <v>17000</v>
      </c>
      <c r="F428" s="470">
        <f t="shared" si="22"/>
        <v>17000</v>
      </c>
      <c r="G428" s="488"/>
      <c r="H428" s="798"/>
      <c r="I428" s="488"/>
      <c r="J428" s="488"/>
      <c r="K428" s="488"/>
      <c r="L428" s="488"/>
      <c r="M428" s="622"/>
    </row>
    <row r="429" spans="1:13" ht="20.100000000000001" customHeight="1">
      <c r="A429" s="176">
        <v>20</v>
      </c>
      <c r="B429" s="785" t="s">
        <v>291</v>
      </c>
      <c r="C429" s="786">
        <f t="shared" ref="C429:E429" si="25">SUM(C430:C434)</f>
        <v>0</v>
      </c>
      <c r="D429" s="787">
        <f t="shared" si="25"/>
        <v>51000</v>
      </c>
      <c r="E429" s="787">
        <f t="shared" si="25"/>
        <v>51000</v>
      </c>
      <c r="F429" s="466">
        <f t="shared" si="22"/>
        <v>51000</v>
      </c>
      <c r="G429" s="787"/>
      <c r="H429" s="789"/>
      <c r="I429" s="787">
        <f>SUM(I430:I434)</f>
        <v>54500</v>
      </c>
      <c r="J429" s="787">
        <f>SUM(J430:J434)</f>
        <v>54500</v>
      </c>
      <c r="K429" s="787">
        <f>SUM(K430:K434)</f>
        <v>54500</v>
      </c>
      <c r="L429" s="787"/>
      <c r="M429" s="803"/>
    </row>
    <row r="430" spans="1:13" ht="20.100000000000001" customHeight="1">
      <c r="A430" s="173"/>
      <c r="B430" s="170" t="s">
        <v>1410</v>
      </c>
      <c r="C430" s="490"/>
      <c r="D430" s="488">
        <f>5000+2*4500+8000</f>
        <v>22000</v>
      </c>
      <c r="E430" s="488">
        <f>D430</f>
        <v>22000</v>
      </c>
      <c r="F430" s="470">
        <f t="shared" si="22"/>
        <v>22000</v>
      </c>
      <c r="G430" s="488"/>
      <c r="H430" s="798"/>
      <c r="I430" s="488">
        <f>6000+5500+2*5000</f>
        <v>21500</v>
      </c>
      <c r="J430" s="488">
        <v>21500</v>
      </c>
      <c r="K430" s="488">
        <v>21500</v>
      </c>
      <c r="L430" s="488"/>
      <c r="M430" s="622"/>
    </row>
    <row r="431" spans="1:13" ht="20.100000000000001" customHeight="1">
      <c r="A431" s="171"/>
      <c r="B431" s="170" t="s">
        <v>257</v>
      </c>
      <c r="C431" s="490"/>
      <c r="D431" s="488">
        <v>3000</v>
      </c>
      <c r="E431" s="488">
        <v>3000</v>
      </c>
      <c r="F431" s="470">
        <f t="shared" si="22"/>
        <v>3000</v>
      </c>
      <c r="G431" s="488"/>
      <c r="H431" s="798"/>
      <c r="I431" s="488">
        <v>3000</v>
      </c>
      <c r="J431" s="488">
        <v>3000</v>
      </c>
      <c r="K431" s="488">
        <v>3000</v>
      </c>
      <c r="L431" s="488"/>
      <c r="M431" s="622"/>
    </row>
    <row r="432" spans="1:13" ht="20.100000000000001" customHeight="1">
      <c r="A432" s="171"/>
      <c r="B432" s="170" t="s">
        <v>1411</v>
      </c>
      <c r="C432" s="490"/>
      <c r="D432" s="488">
        <f>4*300*5</f>
        <v>6000</v>
      </c>
      <c r="E432" s="488">
        <f>4*300*5</f>
        <v>6000</v>
      </c>
      <c r="F432" s="470">
        <f t="shared" si="22"/>
        <v>6000</v>
      </c>
      <c r="G432" s="488"/>
      <c r="H432" s="798"/>
      <c r="I432" s="488">
        <f>4*500*5</f>
        <v>10000</v>
      </c>
      <c r="J432" s="488">
        <v>10000</v>
      </c>
      <c r="K432" s="488">
        <v>10000</v>
      </c>
      <c r="L432" s="488"/>
      <c r="M432" s="622"/>
    </row>
    <row r="433" spans="1:13" ht="20.100000000000001" customHeight="1">
      <c r="A433" s="171"/>
      <c r="B433" s="170" t="s">
        <v>955</v>
      </c>
      <c r="C433" s="490"/>
      <c r="D433" s="488">
        <v>8000</v>
      </c>
      <c r="E433" s="488">
        <v>8000</v>
      </c>
      <c r="F433" s="470">
        <f t="shared" si="22"/>
        <v>8000</v>
      </c>
      <c r="G433" s="488"/>
      <c r="H433" s="798"/>
      <c r="I433" s="488">
        <v>8000</v>
      </c>
      <c r="J433" s="488">
        <v>8000</v>
      </c>
      <c r="K433" s="488">
        <v>8000</v>
      </c>
      <c r="L433" s="488"/>
      <c r="M433" s="622"/>
    </row>
    <row r="434" spans="1:13" ht="20.100000000000001" customHeight="1">
      <c r="A434" s="171"/>
      <c r="B434" s="170" t="s">
        <v>366</v>
      </c>
      <c r="C434" s="490"/>
      <c r="D434" s="488">
        <v>12000</v>
      </c>
      <c r="E434" s="488">
        <v>12000</v>
      </c>
      <c r="F434" s="470">
        <f t="shared" si="22"/>
        <v>12000</v>
      </c>
      <c r="G434" s="488"/>
      <c r="H434" s="798"/>
      <c r="I434" s="488">
        <v>12000</v>
      </c>
      <c r="J434" s="488">
        <v>12000</v>
      </c>
      <c r="K434" s="488">
        <v>12000</v>
      </c>
      <c r="L434" s="488"/>
      <c r="M434" s="622"/>
    </row>
    <row r="435" spans="1:13" ht="20.100000000000001" customHeight="1">
      <c r="A435" s="176">
        <v>21</v>
      </c>
      <c r="B435" s="785" t="s">
        <v>456</v>
      </c>
      <c r="C435" s="816"/>
      <c r="D435" s="819">
        <v>1000000</v>
      </c>
      <c r="E435" s="819">
        <v>1000000</v>
      </c>
      <c r="F435" s="466">
        <f t="shared" si="22"/>
        <v>1000000</v>
      </c>
      <c r="G435" s="819"/>
      <c r="H435" s="817"/>
      <c r="I435" s="819">
        <v>1000000</v>
      </c>
      <c r="J435" s="819">
        <v>1000000</v>
      </c>
      <c r="K435" s="819">
        <v>1000000</v>
      </c>
      <c r="L435" s="819"/>
      <c r="M435" s="803"/>
    </row>
    <row r="436" spans="1:13" ht="20.100000000000001" customHeight="1">
      <c r="A436" s="176">
        <v>22</v>
      </c>
      <c r="B436" s="785" t="s">
        <v>261</v>
      </c>
      <c r="C436" s="816"/>
      <c r="D436" s="819">
        <v>40000</v>
      </c>
      <c r="E436" s="819">
        <v>40000</v>
      </c>
      <c r="F436" s="466">
        <f t="shared" si="22"/>
        <v>40000</v>
      </c>
      <c r="G436" s="819"/>
      <c r="H436" s="817"/>
      <c r="I436" s="819">
        <v>40000</v>
      </c>
      <c r="J436" s="819">
        <v>40000</v>
      </c>
      <c r="K436" s="819">
        <v>40000</v>
      </c>
      <c r="L436" s="819"/>
      <c r="M436" s="803"/>
    </row>
    <row r="437" spans="1:13" ht="20.100000000000001" customHeight="1">
      <c r="A437" s="171">
        <v>23</v>
      </c>
      <c r="B437" s="169" t="s">
        <v>1412</v>
      </c>
      <c r="C437" s="492"/>
      <c r="D437" s="491">
        <v>207762</v>
      </c>
      <c r="E437" s="491">
        <v>100000</v>
      </c>
      <c r="F437" s="466">
        <f t="shared" si="22"/>
        <v>100000</v>
      </c>
      <c r="G437" s="491"/>
      <c r="H437" s="799"/>
      <c r="I437" s="491">
        <v>100000</v>
      </c>
      <c r="J437" s="491">
        <v>100000</v>
      </c>
      <c r="K437" s="491">
        <v>100000</v>
      </c>
      <c r="L437" s="491"/>
      <c r="M437" s="761"/>
    </row>
    <row r="438" spans="1:13" ht="20.100000000000001" customHeight="1">
      <c r="A438" s="176">
        <v>24</v>
      </c>
      <c r="B438" s="785" t="s">
        <v>737</v>
      </c>
      <c r="C438" s="492">
        <f>SUM(C439:C444)</f>
        <v>0</v>
      </c>
      <c r="D438" s="491">
        <f>SUM(D439:D451)</f>
        <v>230400</v>
      </c>
      <c r="E438" s="491">
        <f>SUM(E439:E451)</f>
        <v>104000</v>
      </c>
      <c r="F438" s="466">
        <f t="shared" si="22"/>
        <v>104000</v>
      </c>
      <c r="G438" s="491"/>
      <c r="H438" s="799"/>
      <c r="I438" s="491">
        <f>SUM(I439:I453)</f>
        <v>255400</v>
      </c>
      <c r="J438" s="491">
        <f>SUM(J439:J453)</f>
        <v>129500</v>
      </c>
      <c r="K438" s="491">
        <f>SUM(K439:K453)</f>
        <v>129500</v>
      </c>
      <c r="L438" s="491"/>
      <c r="M438" s="643"/>
    </row>
    <row r="439" spans="1:13" ht="20.100000000000001" customHeight="1">
      <c r="A439" s="171"/>
      <c r="B439" s="170" t="s">
        <v>738</v>
      </c>
      <c r="C439" s="490"/>
      <c r="D439" s="488">
        <v>6000</v>
      </c>
      <c r="E439" s="488">
        <v>3000</v>
      </c>
      <c r="F439" s="470">
        <f t="shared" si="22"/>
        <v>3000</v>
      </c>
      <c r="G439" s="488"/>
      <c r="H439" s="798"/>
      <c r="I439" s="488">
        <v>3000</v>
      </c>
      <c r="J439" s="488">
        <v>3000</v>
      </c>
      <c r="K439" s="488">
        <v>3000</v>
      </c>
      <c r="L439" s="488"/>
      <c r="M439" s="761"/>
    </row>
    <row r="440" spans="1:13" ht="20.100000000000001" customHeight="1">
      <c r="A440" s="171"/>
      <c r="B440" s="170" t="s">
        <v>957</v>
      </c>
      <c r="C440" s="490"/>
      <c r="D440" s="488">
        <f>8*1000*12</f>
        <v>96000</v>
      </c>
      <c r="E440" s="488">
        <f>8*500*12</f>
        <v>48000</v>
      </c>
      <c r="F440" s="470">
        <f t="shared" si="22"/>
        <v>48000</v>
      </c>
      <c r="G440" s="488"/>
      <c r="H440" s="798"/>
      <c r="I440" s="488">
        <v>96000</v>
      </c>
      <c r="J440" s="488">
        <v>48000</v>
      </c>
      <c r="K440" s="488">
        <v>48000</v>
      </c>
      <c r="L440" s="488"/>
      <c r="M440" s="761" t="s">
        <v>958</v>
      </c>
    </row>
    <row r="441" spans="1:13" ht="20.100000000000001" customHeight="1">
      <c r="A441" s="171"/>
      <c r="B441" s="170" t="s">
        <v>959</v>
      </c>
      <c r="C441" s="490"/>
      <c r="D441" s="488">
        <v>16000</v>
      </c>
      <c r="E441" s="488">
        <f>8000</f>
        <v>8000</v>
      </c>
      <c r="F441" s="470">
        <f t="shared" si="22"/>
        <v>8000</v>
      </c>
      <c r="G441" s="488"/>
      <c r="H441" s="798"/>
      <c r="I441" s="488">
        <v>16000</v>
      </c>
      <c r="J441" s="488">
        <v>8000</v>
      </c>
      <c r="K441" s="488">
        <v>8000</v>
      </c>
      <c r="L441" s="488"/>
      <c r="M441" s="761" t="s">
        <v>960</v>
      </c>
    </row>
    <row r="442" spans="1:13" ht="20.100000000000001" customHeight="1">
      <c r="A442" s="171"/>
      <c r="B442" s="170" t="s">
        <v>739</v>
      </c>
      <c r="C442" s="490"/>
      <c r="D442" s="488">
        <v>3600</v>
      </c>
      <c r="E442" s="488"/>
      <c r="F442" s="470">
        <f t="shared" si="22"/>
        <v>0</v>
      </c>
      <c r="G442" s="488"/>
      <c r="H442" s="798"/>
      <c r="I442" s="488">
        <v>3600</v>
      </c>
      <c r="J442" s="488"/>
      <c r="K442" s="488"/>
      <c r="L442" s="488"/>
      <c r="M442" s="761" t="s">
        <v>961</v>
      </c>
    </row>
    <row r="443" spans="1:13" ht="20.100000000000001" customHeight="1">
      <c r="A443" s="171"/>
      <c r="B443" s="170" t="s">
        <v>740</v>
      </c>
      <c r="C443" s="490"/>
      <c r="D443" s="488">
        <f>150*12</f>
        <v>1800</v>
      </c>
      <c r="E443" s="488"/>
      <c r="F443" s="470">
        <f t="shared" si="22"/>
        <v>0</v>
      </c>
      <c r="G443" s="488"/>
      <c r="H443" s="798"/>
      <c r="I443" s="488">
        <v>1800</v>
      </c>
      <c r="J443" s="488"/>
      <c r="K443" s="488"/>
      <c r="L443" s="488"/>
      <c r="M443" s="761" t="s">
        <v>961</v>
      </c>
    </row>
    <row r="444" spans="1:13" ht="20.100000000000001" customHeight="1">
      <c r="A444" s="171"/>
      <c r="B444" s="170" t="s">
        <v>47</v>
      </c>
      <c r="C444" s="490"/>
      <c r="D444" s="488">
        <v>15000</v>
      </c>
      <c r="E444" s="488">
        <v>10000</v>
      </c>
      <c r="F444" s="470">
        <f t="shared" si="22"/>
        <v>10000</v>
      </c>
      <c r="G444" s="488"/>
      <c r="H444" s="798"/>
      <c r="I444" s="488">
        <v>25000</v>
      </c>
      <c r="J444" s="488">
        <v>20000</v>
      </c>
      <c r="K444" s="488">
        <v>20000</v>
      </c>
      <c r="L444" s="488"/>
      <c r="M444" s="761"/>
    </row>
    <row r="445" spans="1:13" ht="20.100000000000001" customHeight="1">
      <c r="A445" s="171"/>
      <c r="B445" s="170" t="s">
        <v>962</v>
      </c>
      <c r="C445" s="490"/>
      <c r="D445" s="488">
        <v>10000</v>
      </c>
      <c r="E445" s="488"/>
      <c r="F445" s="470">
        <f t="shared" si="22"/>
        <v>0</v>
      </c>
      <c r="G445" s="488"/>
      <c r="H445" s="798"/>
      <c r="I445" s="488">
        <v>10000</v>
      </c>
      <c r="J445" s="488"/>
      <c r="K445" s="488"/>
      <c r="L445" s="488"/>
      <c r="M445" s="761" t="s">
        <v>961</v>
      </c>
    </row>
    <row r="446" spans="1:13" ht="20.100000000000001" customHeight="1">
      <c r="A446" s="171"/>
      <c r="B446" s="170" t="s">
        <v>963</v>
      </c>
      <c r="C446" s="490"/>
      <c r="D446" s="488">
        <v>25000</v>
      </c>
      <c r="E446" s="488">
        <v>15000</v>
      </c>
      <c r="F446" s="470">
        <f t="shared" si="22"/>
        <v>15000</v>
      </c>
      <c r="G446" s="488"/>
      <c r="H446" s="798"/>
      <c r="I446" s="488">
        <v>35000</v>
      </c>
      <c r="J446" s="488">
        <v>20000</v>
      </c>
      <c r="K446" s="488">
        <v>20000</v>
      </c>
      <c r="L446" s="488"/>
      <c r="M446" s="761"/>
    </row>
    <row r="447" spans="1:13" ht="20.100000000000001" customHeight="1">
      <c r="A447" s="171"/>
      <c r="B447" s="170" t="s">
        <v>964</v>
      </c>
      <c r="C447" s="490"/>
      <c r="D447" s="488">
        <v>10000</v>
      </c>
      <c r="E447" s="488"/>
      <c r="F447" s="470">
        <f t="shared" si="22"/>
        <v>0</v>
      </c>
      <c r="G447" s="488"/>
      <c r="H447" s="798"/>
      <c r="I447" s="488">
        <v>10000</v>
      </c>
      <c r="J447" s="488"/>
      <c r="K447" s="488"/>
      <c r="L447" s="488"/>
      <c r="M447" s="761" t="s">
        <v>961</v>
      </c>
    </row>
    <row r="448" spans="1:13" ht="20.100000000000001" customHeight="1">
      <c r="A448" s="171"/>
      <c r="B448" s="170" t="s">
        <v>965</v>
      </c>
      <c r="C448" s="490"/>
      <c r="D448" s="488">
        <v>15000</v>
      </c>
      <c r="E448" s="488">
        <v>10000</v>
      </c>
      <c r="F448" s="470">
        <f t="shared" si="22"/>
        <v>10000</v>
      </c>
      <c r="G448" s="488"/>
      <c r="H448" s="798"/>
      <c r="I448" s="488">
        <v>15000</v>
      </c>
      <c r="J448" s="488">
        <v>10000</v>
      </c>
      <c r="K448" s="488">
        <v>10000</v>
      </c>
      <c r="L448" s="488"/>
      <c r="M448" s="761"/>
    </row>
    <row r="449" spans="1:14" ht="20.100000000000001" customHeight="1">
      <c r="A449" s="171"/>
      <c r="B449" s="170" t="s">
        <v>233</v>
      </c>
      <c r="C449" s="490"/>
      <c r="D449" s="488">
        <v>7000</v>
      </c>
      <c r="E449" s="488"/>
      <c r="F449" s="470">
        <f t="shared" si="22"/>
        <v>0</v>
      </c>
      <c r="G449" s="488"/>
      <c r="H449" s="798"/>
      <c r="I449" s="488">
        <v>5000</v>
      </c>
      <c r="J449" s="488"/>
      <c r="K449" s="488"/>
      <c r="L449" s="488"/>
      <c r="M449" s="761" t="s">
        <v>961</v>
      </c>
    </row>
    <row r="450" spans="1:14" ht="20.100000000000001" customHeight="1">
      <c r="A450" s="171"/>
      <c r="B450" s="170" t="s">
        <v>968</v>
      </c>
      <c r="C450" s="490"/>
      <c r="D450" s="488">
        <v>15000</v>
      </c>
      <c r="E450" s="488">
        <v>10000</v>
      </c>
      <c r="F450" s="470">
        <f t="shared" si="22"/>
        <v>10000</v>
      </c>
      <c r="G450" s="488"/>
      <c r="H450" s="798"/>
      <c r="I450" s="488">
        <v>15000</v>
      </c>
      <c r="J450" s="488">
        <v>15000</v>
      </c>
      <c r="K450" s="488">
        <v>15000</v>
      </c>
      <c r="L450" s="488"/>
      <c r="M450" s="761"/>
    </row>
    <row r="451" spans="1:14" ht="20.100000000000001" customHeight="1">
      <c r="A451" s="171"/>
      <c r="B451" s="170" t="s">
        <v>969</v>
      </c>
      <c r="C451" s="490"/>
      <c r="D451" s="488">
        <v>10000</v>
      </c>
      <c r="E451" s="488"/>
      <c r="F451" s="470">
        <f t="shared" si="22"/>
        <v>0</v>
      </c>
      <c r="G451" s="488"/>
      <c r="H451" s="798"/>
      <c r="I451" s="488"/>
      <c r="J451" s="488"/>
      <c r="K451" s="488"/>
      <c r="L451" s="488"/>
      <c r="M451" s="761" t="s">
        <v>961</v>
      </c>
    </row>
    <row r="452" spans="1:14" ht="20.100000000000001" customHeight="1">
      <c r="A452" s="171"/>
      <c r="B452" s="170" t="s">
        <v>1413</v>
      </c>
      <c r="C452" s="490"/>
      <c r="D452" s="488"/>
      <c r="E452" s="488"/>
      <c r="F452" s="470"/>
      <c r="G452" s="488"/>
      <c r="H452" s="798"/>
      <c r="I452" s="488">
        <v>10000</v>
      </c>
      <c r="J452" s="488"/>
      <c r="K452" s="488"/>
      <c r="L452" s="488"/>
      <c r="M452" s="761"/>
    </row>
    <row r="453" spans="1:14" ht="20.100000000000001" customHeight="1">
      <c r="A453" s="171"/>
      <c r="B453" s="170" t="s">
        <v>1414</v>
      </c>
      <c r="C453" s="490"/>
      <c r="D453" s="488"/>
      <c r="E453" s="488"/>
      <c r="F453" s="470"/>
      <c r="G453" s="488"/>
      <c r="H453" s="798"/>
      <c r="I453" s="488">
        <v>10000</v>
      </c>
      <c r="J453" s="488">
        <v>5500</v>
      </c>
      <c r="K453" s="488">
        <v>5500</v>
      </c>
      <c r="L453" s="488"/>
      <c r="M453" s="761" t="s">
        <v>1415</v>
      </c>
    </row>
    <row r="454" spans="1:14" ht="20.100000000000001" customHeight="1">
      <c r="A454" s="159" t="s">
        <v>85</v>
      </c>
      <c r="B454" s="169" t="s">
        <v>457</v>
      </c>
      <c r="C454" s="471"/>
      <c r="D454" s="472">
        <f>(D455+D458+D482+D502+D519+D551+D574+D592+D593+D479+D480+D481)</f>
        <v>24582009.008800004</v>
      </c>
      <c r="E454" s="472">
        <f>(E455+E458+E482+E502+E519+E551+E574+E592+E593+E479+E480+E481)</f>
        <v>24098009.008800004</v>
      </c>
      <c r="F454" s="472">
        <f>(F455+F458+F482+F502+F519+F551+F574+F592+F593+F479+F480+F481)</f>
        <v>24098009.008800004</v>
      </c>
      <c r="G454" s="472">
        <f>(G455+G458+G482+G502+G519+G551+G574+G592+G593+G479+G480+G481)</f>
        <v>0</v>
      </c>
      <c r="H454" s="775"/>
      <c r="I454" s="472">
        <f>(I455+I458+I482+I502+I519+I551+I574+I592+I593+I479+I480+I481+I594)</f>
        <v>8806043.0850500017</v>
      </c>
      <c r="J454" s="472">
        <f>(J455+J458+J482+J502+J519+J551+J574+J592+J593+J479+J480+J481+J594)</f>
        <v>36919659.938050002</v>
      </c>
      <c r="K454" s="472">
        <f>(K455+K458+K482+K502+K519+K551+K574+K592+K593+K479+K480+K481+K594)</f>
        <v>36919659.938050002</v>
      </c>
      <c r="L454" s="472"/>
      <c r="M454" s="644"/>
      <c r="N454" s="119" t="e">
        <f>#REF!-#REF!-#REF!</f>
        <v>#REF!</v>
      </c>
    </row>
    <row r="455" spans="1:14" ht="20.100000000000001" customHeight="1">
      <c r="A455" s="171">
        <v>1</v>
      </c>
      <c r="B455" s="169" t="s">
        <v>453</v>
      </c>
      <c r="C455" s="492">
        <f t="shared" ref="C455:F455" si="26">SUM(C456:C457)</f>
        <v>0</v>
      </c>
      <c r="D455" s="491">
        <f t="shared" si="26"/>
        <v>16100000</v>
      </c>
      <c r="E455" s="491">
        <f t="shared" si="26"/>
        <v>16100000</v>
      </c>
      <c r="F455" s="491">
        <f t="shared" si="26"/>
        <v>16100000</v>
      </c>
      <c r="G455" s="491"/>
      <c r="H455" s="799"/>
      <c r="I455" s="491"/>
      <c r="J455" s="491">
        <v>29500000</v>
      </c>
      <c r="K455" s="491">
        <v>29500000</v>
      </c>
      <c r="L455" s="491"/>
      <c r="M455" s="761" t="s">
        <v>1416</v>
      </c>
      <c r="N455" s="116">
        <v>500000</v>
      </c>
    </row>
    <row r="456" spans="1:14" ht="20.100000000000001" customHeight="1">
      <c r="A456" s="171"/>
      <c r="B456" s="170" t="s">
        <v>1190</v>
      </c>
      <c r="C456" s="490"/>
      <c r="D456" s="488">
        <v>11100000</v>
      </c>
      <c r="E456" s="488">
        <f>10500000+600000</f>
        <v>11100000</v>
      </c>
      <c r="F456" s="470">
        <f>E456</f>
        <v>11100000</v>
      </c>
      <c r="G456" s="488"/>
      <c r="H456" s="798"/>
      <c r="I456" s="488"/>
      <c r="J456" s="488"/>
      <c r="K456" s="488"/>
      <c r="L456" s="488"/>
      <c r="M456" s="622"/>
      <c r="N456" s="116">
        <f>G455+F455</f>
        <v>16100000</v>
      </c>
    </row>
    <row r="457" spans="1:14" ht="20.100000000000001" customHeight="1">
      <c r="A457" s="171"/>
      <c r="B457" s="170" t="s">
        <v>1191</v>
      </c>
      <c r="C457" s="490"/>
      <c r="D457" s="488">
        <v>5000000</v>
      </c>
      <c r="E457" s="488">
        <v>5000000</v>
      </c>
      <c r="F457" s="470">
        <f>E457</f>
        <v>5000000</v>
      </c>
      <c r="G457" s="488"/>
      <c r="H457" s="798"/>
      <c r="I457" s="488"/>
      <c r="J457" s="488"/>
      <c r="K457" s="488"/>
      <c r="L457" s="488"/>
      <c r="M457" s="622"/>
    </row>
    <row r="458" spans="1:14" ht="20.100000000000001" customHeight="1">
      <c r="A458" s="176">
        <v>2</v>
      </c>
      <c r="B458" s="785" t="s">
        <v>148</v>
      </c>
      <c r="C458" s="471">
        <f t="shared" ref="C458:E458" si="27">C459+C463+C467+C472</f>
        <v>0</v>
      </c>
      <c r="D458" s="472">
        <f t="shared" si="27"/>
        <v>333000</v>
      </c>
      <c r="E458" s="472">
        <f t="shared" si="27"/>
        <v>220000</v>
      </c>
      <c r="F458" s="466">
        <f t="shared" si="22"/>
        <v>220000</v>
      </c>
      <c r="G458" s="472"/>
      <c r="H458" s="775"/>
      <c r="I458" s="472">
        <f>I459+I463+I467+I472</f>
        <v>434000</v>
      </c>
      <c r="J458" s="472">
        <f>J459+J463+J467+J472</f>
        <v>255000</v>
      </c>
      <c r="K458" s="472">
        <f>K459+K463+K467+K472</f>
        <v>255000</v>
      </c>
      <c r="L458" s="472"/>
      <c r="M458" s="622"/>
    </row>
    <row r="459" spans="1:14" ht="20.100000000000001" customHeight="1">
      <c r="A459" s="171" t="s">
        <v>454</v>
      </c>
      <c r="B459" s="169" t="s">
        <v>149</v>
      </c>
      <c r="C459" s="471">
        <f>SUM(C460:C461)</f>
        <v>0</v>
      </c>
      <c r="D459" s="472">
        <f>SUM(D460:D462)</f>
        <v>75000</v>
      </c>
      <c r="E459" s="472">
        <f>SUM(E460:E462)</f>
        <v>40000</v>
      </c>
      <c r="F459" s="466">
        <f t="shared" si="22"/>
        <v>40000</v>
      </c>
      <c r="G459" s="472"/>
      <c r="H459" s="775"/>
      <c r="I459" s="472">
        <f>SUM(I460:I462)</f>
        <v>70000</v>
      </c>
      <c r="J459" s="472">
        <f>SUM(J460:J462)</f>
        <v>40000</v>
      </c>
      <c r="K459" s="472">
        <f>SUM(K460:K462)</f>
        <v>40000</v>
      </c>
      <c r="L459" s="472"/>
      <c r="M459" s="622"/>
    </row>
    <row r="460" spans="1:14" ht="20.100000000000001" customHeight="1">
      <c r="A460" s="171"/>
      <c r="B460" s="170" t="s">
        <v>1417</v>
      </c>
      <c r="C460" s="485"/>
      <c r="D460" s="484">
        <v>20000</v>
      </c>
      <c r="E460" s="484">
        <v>10000</v>
      </c>
      <c r="F460" s="470">
        <f t="shared" si="22"/>
        <v>10000</v>
      </c>
      <c r="G460" s="484"/>
      <c r="H460" s="791"/>
      <c r="I460" s="484">
        <v>20000</v>
      </c>
      <c r="J460" s="484">
        <v>10000</v>
      </c>
      <c r="K460" s="484">
        <v>10000</v>
      </c>
      <c r="L460" s="484"/>
      <c r="M460" s="622"/>
    </row>
    <row r="461" spans="1:14" ht="20.100000000000001" customHeight="1">
      <c r="A461" s="173"/>
      <c r="B461" s="170" t="s">
        <v>1418</v>
      </c>
      <c r="C461" s="485"/>
      <c r="D461" s="484">
        <v>35000</v>
      </c>
      <c r="E461" s="484">
        <v>20000</v>
      </c>
      <c r="F461" s="470">
        <f t="shared" si="22"/>
        <v>20000</v>
      </c>
      <c r="G461" s="484"/>
      <c r="H461" s="791"/>
      <c r="I461" s="484">
        <v>40000</v>
      </c>
      <c r="J461" s="484">
        <v>20000</v>
      </c>
      <c r="K461" s="484">
        <v>20000</v>
      </c>
      <c r="L461" s="484"/>
      <c r="M461" s="622"/>
    </row>
    <row r="462" spans="1:14" ht="20.100000000000001" customHeight="1">
      <c r="A462" s="173"/>
      <c r="B462" s="170" t="s">
        <v>972</v>
      </c>
      <c r="C462" s="485"/>
      <c r="D462" s="484">
        <v>20000</v>
      </c>
      <c r="E462" s="484">
        <v>10000</v>
      </c>
      <c r="F462" s="470">
        <f t="shared" si="22"/>
        <v>10000</v>
      </c>
      <c r="G462" s="484"/>
      <c r="H462" s="791"/>
      <c r="I462" s="484">
        <v>10000</v>
      </c>
      <c r="J462" s="484">
        <v>10000</v>
      </c>
      <c r="K462" s="484">
        <v>10000</v>
      </c>
      <c r="L462" s="484"/>
      <c r="M462" s="622"/>
    </row>
    <row r="463" spans="1:14" ht="20.100000000000001" customHeight="1">
      <c r="A463" s="171" t="s">
        <v>603</v>
      </c>
      <c r="B463" s="169" t="s">
        <v>150</v>
      </c>
      <c r="C463" s="471">
        <f t="shared" ref="C463:D463" si="28">SUM(C464:C466)</f>
        <v>0</v>
      </c>
      <c r="D463" s="472">
        <f t="shared" si="28"/>
        <v>100000</v>
      </c>
      <c r="E463" s="472">
        <f>SUM(E464:E466)</f>
        <v>50000</v>
      </c>
      <c r="F463" s="466">
        <f t="shared" si="22"/>
        <v>50000</v>
      </c>
      <c r="G463" s="472"/>
      <c r="H463" s="775"/>
      <c r="I463" s="472">
        <f>SUM(I464:I466)</f>
        <v>70000</v>
      </c>
      <c r="J463" s="472">
        <f>SUM(J464:J466)</f>
        <v>50000</v>
      </c>
      <c r="K463" s="472">
        <f>SUM(K464:K466)</f>
        <v>50000</v>
      </c>
      <c r="L463" s="472"/>
      <c r="M463" s="622"/>
    </row>
    <row r="464" spans="1:14" ht="20.100000000000001" customHeight="1">
      <c r="A464" s="171"/>
      <c r="B464" s="170" t="s">
        <v>973</v>
      </c>
      <c r="C464" s="485"/>
      <c r="D464" s="484">
        <v>40000</v>
      </c>
      <c r="E464" s="484">
        <v>20000</v>
      </c>
      <c r="F464" s="470">
        <f t="shared" si="22"/>
        <v>20000</v>
      </c>
      <c r="G464" s="484"/>
      <c r="H464" s="791"/>
      <c r="I464" s="484">
        <v>20000</v>
      </c>
      <c r="J464" s="484">
        <v>20000</v>
      </c>
      <c r="K464" s="484">
        <v>20000</v>
      </c>
      <c r="L464" s="484"/>
      <c r="M464" s="622"/>
    </row>
    <row r="465" spans="1:13" ht="20.100000000000001" customHeight="1">
      <c r="A465" s="171"/>
      <c r="B465" s="170" t="s">
        <v>1419</v>
      </c>
      <c r="C465" s="485"/>
      <c r="D465" s="484">
        <v>30000</v>
      </c>
      <c r="E465" s="484">
        <v>20000</v>
      </c>
      <c r="F465" s="470">
        <f t="shared" si="22"/>
        <v>20000</v>
      </c>
      <c r="G465" s="484"/>
      <c r="H465" s="791"/>
      <c r="I465" s="484">
        <v>20000</v>
      </c>
      <c r="J465" s="484">
        <v>20000</v>
      </c>
      <c r="K465" s="484">
        <v>20000</v>
      </c>
      <c r="L465" s="484"/>
      <c r="M465" s="622"/>
    </row>
    <row r="466" spans="1:13" ht="20.100000000000001" customHeight="1">
      <c r="A466" s="171"/>
      <c r="B466" s="170" t="s">
        <v>975</v>
      </c>
      <c r="C466" s="490"/>
      <c r="D466" s="488">
        <v>30000</v>
      </c>
      <c r="E466" s="488">
        <v>10000</v>
      </c>
      <c r="F466" s="470">
        <f t="shared" si="22"/>
        <v>10000</v>
      </c>
      <c r="G466" s="488"/>
      <c r="H466" s="798"/>
      <c r="I466" s="488">
        <v>30000</v>
      </c>
      <c r="J466" s="484">
        <v>10000</v>
      </c>
      <c r="K466" s="484">
        <v>10000</v>
      </c>
      <c r="L466" s="484"/>
      <c r="M466" s="761" t="s">
        <v>1420</v>
      </c>
    </row>
    <row r="467" spans="1:13" ht="20.100000000000001" customHeight="1">
      <c r="A467" s="171" t="s">
        <v>140</v>
      </c>
      <c r="B467" s="169" t="s">
        <v>433</v>
      </c>
      <c r="C467" s="471">
        <f t="shared" ref="C467:D467" si="29">(C468+C469+C470)</f>
        <v>0</v>
      </c>
      <c r="D467" s="472">
        <f t="shared" si="29"/>
        <v>58000</v>
      </c>
      <c r="E467" s="472">
        <f>(E468+E469+E470)</f>
        <v>50000</v>
      </c>
      <c r="F467" s="466">
        <f t="shared" si="22"/>
        <v>50000</v>
      </c>
      <c r="G467" s="472"/>
      <c r="H467" s="775"/>
      <c r="I467" s="472">
        <f>(I468+I469+I470+I471)</f>
        <v>83000</v>
      </c>
      <c r="J467" s="472">
        <f>(J468+J469+J470+J471)</f>
        <v>75000</v>
      </c>
      <c r="K467" s="472">
        <f>(K468+K469+K470+K471)</f>
        <v>75000</v>
      </c>
      <c r="L467" s="472"/>
      <c r="M467" s="630"/>
    </row>
    <row r="468" spans="1:13" ht="20.100000000000001" customHeight="1">
      <c r="A468" s="173"/>
      <c r="B468" s="170" t="s">
        <v>977</v>
      </c>
      <c r="C468" s="485"/>
      <c r="D468" s="484">
        <v>20000</v>
      </c>
      <c r="E468" s="484">
        <v>20000</v>
      </c>
      <c r="F468" s="470">
        <f t="shared" si="22"/>
        <v>20000</v>
      </c>
      <c r="G468" s="484"/>
      <c r="H468" s="791"/>
      <c r="I468" s="484">
        <v>20000</v>
      </c>
      <c r="J468" s="484">
        <v>20000</v>
      </c>
      <c r="K468" s="484">
        <v>20000</v>
      </c>
      <c r="L468" s="484"/>
      <c r="M468" s="622"/>
    </row>
    <row r="469" spans="1:13" ht="20.100000000000001" customHeight="1">
      <c r="A469" s="173"/>
      <c r="B469" s="170" t="s">
        <v>594</v>
      </c>
      <c r="C469" s="485"/>
      <c r="D469" s="484">
        <v>20000</v>
      </c>
      <c r="E469" s="484">
        <v>20000</v>
      </c>
      <c r="F469" s="470">
        <f t="shared" si="22"/>
        <v>20000</v>
      </c>
      <c r="G469" s="484"/>
      <c r="H469" s="791"/>
      <c r="I469" s="484">
        <v>20000</v>
      </c>
      <c r="J469" s="484">
        <v>20000</v>
      </c>
      <c r="K469" s="484">
        <v>20000</v>
      </c>
      <c r="L469" s="484"/>
      <c r="M469" s="622"/>
    </row>
    <row r="470" spans="1:13" ht="20.100000000000001" customHeight="1">
      <c r="A470" s="173"/>
      <c r="B470" s="170" t="s">
        <v>142</v>
      </c>
      <c r="C470" s="485"/>
      <c r="D470" s="484">
        <v>18000</v>
      </c>
      <c r="E470" s="484">
        <v>10000</v>
      </c>
      <c r="F470" s="470">
        <f t="shared" si="22"/>
        <v>10000</v>
      </c>
      <c r="G470" s="484"/>
      <c r="H470" s="791"/>
      <c r="I470" s="484">
        <v>18000</v>
      </c>
      <c r="J470" s="484">
        <v>10000</v>
      </c>
      <c r="K470" s="484">
        <v>10000</v>
      </c>
      <c r="L470" s="484"/>
      <c r="M470" s="634"/>
    </row>
    <row r="471" spans="1:13" ht="20.100000000000001" customHeight="1">
      <c r="A471" s="173"/>
      <c r="B471" s="170" t="s">
        <v>1421</v>
      </c>
      <c r="C471" s="485"/>
      <c r="D471" s="484"/>
      <c r="E471" s="484"/>
      <c r="F471" s="470"/>
      <c r="G471" s="484"/>
      <c r="H471" s="791"/>
      <c r="I471" s="484">
        <v>25000</v>
      </c>
      <c r="J471" s="484">
        <v>25000</v>
      </c>
      <c r="K471" s="484">
        <v>25000</v>
      </c>
      <c r="L471" s="484"/>
      <c r="M471" s="634" t="s">
        <v>1422</v>
      </c>
    </row>
    <row r="472" spans="1:13" ht="20.100000000000001" customHeight="1">
      <c r="A472" s="171" t="s">
        <v>141</v>
      </c>
      <c r="B472" s="169" t="s">
        <v>434</v>
      </c>
      <c r="C472" s="471"/>
      <c r="D472" s="472">
        <f>SUM(D473:D477)</f>
        <v>100000</v>
      </c>
      <c r="E472" s="472">
        <f>SUM(E473:E477)</f>
        <v>80000</v>
      </c>
      <c r="F472" s="466">
        <f t="shared" si="22"/>
        <v>80000</v>
      </c>
      <c r="G472" s="472"/>
      <c r="H472" s="775"/>
      <c r="I472" s="472">
        <f>SUM(I473:I478)</f>
        <v>211000</v>
      </c>
      <c r="J472" s="472">
        <f>SUM(J473:J478)</f>
        <v>90000</v>
      </c>
      <c r="K472" s="472">
        <f>SUM(K473:K478)</f>
        <v>90000</v>
      </c>
      <c r="L472" s="472"/>
      <c r="M472" s="622"/>
    </row>
    <row r="473" spans="1:13" ht="20.100000000000001" customHeight="1">
      <c r="A473" s="173"/>
      <c r="B473" s="170" t="s">
        <v>978</v>
      </c>
      <c r="C473" s="490"/>
      <c r="D473" s="488">
        <v>30000</v>
      </c>
      <c r="E473" s="488">
        <v>30000</v>
      </c>
      <c r="F473" s="470">
        <f t="shared" si="22"/>
        <v>30000</v>
      </c>
      <c r="G473" s="488"/>
      <c r="H473" s="798"/>
      <c r="I473" s="488">
        <v>30000</v>
      </c>
      <c r="J473" s="484">
        <v>30000</v>
      </c>
      <c r="K473" s="484">
        <v>30000</v>
      </c>
      <c r="L473" s="484"/>
      <c r="M473" s="622"/>
    </row>
    <row r="474" spans="1:13" ht="20.100000000000001" customHeight="1">
      <c r="A474" s="173"/>
      <c r="B474" s="170" t="s">
        <v>1173</v>
      </c>
      <c r="C474" s="490"/>
      <c r="D474" s="488">
        <v>20000</v>
      </c>
      <c r="E474" s="488">
        <v>10000</v>
      </c>
      <c r="F474" s="470">
        <f t="shared" ref="F474:F532" si="30">E474</f>
        <v>10000</v>
      </c>
      <c r="G474" s="488"/>
      <c r="H474" s="798"/>
      <c r="I474" s="488">
        <v>20000</v>
      </c>
      <c r="J474" s="484">
        <v>10000</v>
      </c>
      <c r="K474" s="484">
        <v>10000</v>
      </c>
      <c r="L474" s="484"/>
      <c r="M474" s="622"/>
    </row>
    <row r="475" spans="1:13" ht="20.100000000000001" customHeight="1">
      <c r="A475" s="173"/>
      <c r="B475" s="170" t="s">
        <v>1423</v>
      </c>
      <c r="C475" s="490"/>
      <c r="D475" s="488"/>
      <c r="E475" s="488"/>
      <c r="F475" s="470"/>
      <c r="G475" s="488"/>
      <c r="H475" s="798"/>
      <c r="I475" s="488">
        <v>40000</v>
      </c>
      <c r="J475" s="484">
        <v>10000</v>
      </c>
      <c r="K475" s="484">
        <v>10000</v>
      </c>
      <c r="L475" s="484"/>
      <c r="M475" s="622"/>
    </row>
    <row r="476" spans="1:13" ht="20.100000000000001" customHeight="1">
      <c r="A476" s="173"/>
      <c r="B476" s="170" t="s">
        <v>151</v>
      </c>
      <c r="C476" s="485"/>
      <c r="D476" s="493">
        <v>20000</v>
      </c>
      <c r="E476" s="493">
        <v>10000</v>
      </c>
      <c r="F476" s="470">
        <f t="shared" si="30"/>
        <v>10000</v>
      </c>
      <c r="G476" s="493"/>
      <c r="H476" s="791"/>
      <c r="I476" s="493">
        <v>20000</v>
      </c>
      <c r="J476" s="484">
        <v>10000</v>
      </c>
      <c r="K476" s="484">
        <v>10000</v>
      </c>
      <c r="L476" s="484"/>
      <c r="M476" s="622" t="s">
        <v>979</v>
      </c>
    </row>
    <row r="477" spans="1:13" ht="20.100000000000001" customHeight="1">
      <c r="A477" s="173"/>
      <c r="B477" s="170" t="s">
        <v>116</v>
      </c>
      <c r="C477" s="485"/>
      <c r="D477" s="493">
        <v>30000</v>
      </c>
      <c r="E477" s="493">
        <v>30000</v>
      </c>
      <c r="F477" s="470">
        <f t="shared" si="30"/>
        <v>30000</v>
      </c>
      <c r="G477" s="493"/>
      <c r="H477" s="791"/>
      <c r="I477" s="493">
        <v>30000</v>
      </c>
      <c r="J477" s="484">
        <v>30000</v>
      </c>
      <c r="K477" s="484">
        <v>30000</v>
      </c>
      <c r="L477" s="484"/>
      <c r="M477" s="622"/>
    </row>
    <row r="478" spans="1:13" ht="20.100000000000001" customHeight="1">
      <c r="A478" s="173"/>
      <c r="B478" s="170" t="s">
        <v>1424</v>
      </c>
      <c r="C478" s="485"/>
      <c r="D478" s="493"/>
      <c r="E478" s="493"/>
      <c r="F478" s="470"/>
      <c r="G478" s="493"/>
      <c r="H478" s="791"/>
      <c r="I478" s="493">
        <v>71000</v>
      </c>
      <c r="J478" s="484"/>
      <c r="K478" s="484"/>
      <c r="L478" s="484"/>
      <c r="M478" s="358"/>
    </row>
    <row r="479" spans="1:13" ht="29.25" customHeight="1">
      <c r="A479" s="176">
        <v>3</v>
      </c>
      <c r="B479" s="785" t="s">
        <v>980</v>
      </c>
      <c r="C479" s="492"/>
      <c r="D479" s="491">
        <v>300000</v>
      </c>
      <c r="E479" s="491">
        <v>300000</v>
      </c>
      <c r="F479" s="466">
        <f t="shared" si="30"/>
        <v>300000</v>
      </c>
      <c r="G479" s="491"/>
      <c r="H479" s="799"/>
      <c r="I479" s="491">
        <v>300000</v>
      </c>
      <c r="J479" s="491">
        <v>300000</v>
      </c>
      <c r="K479" s="491">
        <v>300000</v>
      </c>
      <c r="L479" s="491"/>
      <c r="M479" s="622"/>
    </row>
    <row r="480" spans="1:13" ht="20.100000000000001" customHeight="1">
      <c r="A480" s="176">
        <v>4</v>
      </c>
      <c r="B480" s="785" t="s">
        <v>446</v>
      </c>
      <c r="C480" s="492"/>
      <c r="D480" s="491">
        <v>2100000</v>
      </c>
      <c r="E480" s="491">
        <v>2100000</v>
      </c>
      <c r="F480" s="466">
        <f t="shared" si="30"/>
        <v>2100000</v>
      </c>
      <c r="G480" s="491"/>
      <c r="H480" s="799"/>
      <c r="I480" s="491">
        <v>1900000</v>
      </c>
      <c r="J480" s="491">
        <v>1900000</v>
      </c>
      <c r="K480" s="491">
        <v>1900000</v>
      </c>
      <c r="L480" s="491"/>
      <c r="M480" s="622"/>
    </row>
    <row r="481" spans="1:13" ht="20.100000000000001" customHeight="1">
      <c r="A481" s="176">
        <v>5</v>
      </c>
      <c r="B481" s="785" t="s">
        <v>523</v>
      </c>
      <c r="C481" s="492"/>
      <c r="D481" s="491">
        <v>1632000</v>
      </c>
      <c r="E481" s="491">
        <v>1632000</v>
      </c>
      <c r="F481" s="466">
        <f t="shared" si="30"/>
        <v>1632000</v>
      </c>
      <c r="G481" s="491"/>
      <c r="H481" s="799"/>
      <c r="I481" s="491">
        <v>1632000</v>
      </c>
      <c r="J481" s="491">
        <v>1632000</v>
      </c>
      <c r="K481" s="491">
        <v>1632000</v>
      </c>
      <c r="L481" s="491"/>
      <c r="M481" s="622"/>
    </row>
    <row r="482" spans="1:13" ht="20.100000000000001" customHeight="1">
      <c r="A482" s="176">
        <v>6</v>
      </c>
      <c r="B482" s="785" t="s">
        <v>810</v>
      </c>
      <c r="C482" s="471">
        <f>SUM(C483:C484)</f>
        <v>0</v>
      </c>
      <c r="D482" s="472">
        <f>SUM(D483:D489)</f>
        <v>96000</v>
      </c>
      <c r="E482" s="472">
        <f>SUM(E483:E489)</f>
        <v>78000</v>
      </c>
      <c r="F482" s="466">
        <f>E482</f>
        <v>78000</v>
      </c>
      <c r="G482" s="472"/>
      <c r="H482" s="775"/>
      <c r="I482" s="472">
        <f>SUM(I483:I501)</f>
        <v>595000</v>
      </c>
      <c r="J482" s="472">
        <f>SUM(J483:J501)</f>
        <v>105000</v>
      </c>
      <c r="K482" s="472">
        <f>SUM(K483:K501)</f>
        <v>105000</v>
      </c>
      <c r="L482" s="472"/>
      <c r="M482" s="622"/>
    </row>
    <row r="483" spans="1:13" ht="20.100000000000001" customHeight="1">
      <c r="A483" s="171"/>
      <c r="B483" s="170" t="s">
        <v>1425</v>
      </c>
      <c r="C483" s="490"/>
      <c r="D483" s="488">
        <v>12000</v>
      </c>
      <c r="E483" s="488">
        <v>12000</v>
      </c>
      <c r="F483" s="470">
        <f t="shared" si="30"/>
        <v>12000</v>
      </c>
      <c r="G483" s="488"/>
      <c r="H483" s="798"/>
      <c r="I483" s="488">
        <v>12000</v>
      </c>
      <c r="J483" s="488">
        <v>12000</v>
      </c>
      <c r="K483" s="488">
        <v>12000</v>
      </c>
      <c r="L483" s="488"/>
      <c r="M483" s="622"/>
    </row>
    <row r="484" spans="1:13" ht="20.100000000000001" customHeight="1">
      <c r="A484" s="171"/>
      <c r="B484" s="170" t="s">
        <v>370</v>
      </c>
      <c r="C484" s="490"/>
      <c r="D484" s="488">
        <v>13000</v>
      </c>
      <c r="E484" s="488">
        <v>13000</v>
      </c>
      <c r="F484" s="470">
        <f t="shared" si="30"/>
        <v>13000</v>
      </c>
      <c r="G484" s="488"/>
      <c r="H484" s="798"/>
      <c r="I484" s="488"/>
      <c r="J484" s="488"/>
      <c r="K484" s="488"/>
      <c r="L484" s="488"/>
      <c r="M484" s="622"/>
    </row>
    <row r="485" spans="1:13" ht="20.100000000000001" customHeight="1">
      <c r="A485" s="171"/>
      <c r="B485" s="170" t="s">
        <v>981</v>
      </c>
      <c r="C485" s="490"/>
      <c r="D485" s="488">
        <v>12000</v>
      </c>
      <c r="E485" s="488">
        <v>10000</v>
      </c>
      <c r="F485" s="470">
        <f t="shared" si="30"/>
        <v>10000</v>
      </c>
      <c r="G485" s="488"/>
      <c r="H485" s="798"/>
      <c r="I485" s="488">
        <v>20000</v>
      </c>
      <c r="J485" s="488">
        <v>10000</v>
      </c>
      <c r="K485" s="488">
        <v>10000</v>
      </c>
      <c r="L485" s="488"/>
      <c r="M485" s="622"/>
    </row>
    <row r="486" spans="1:13" ht="20.100000000000001" customHeight="1">
      <c r="A486" s="171"/>
      <c r="B486" s="170" t="s">
        <v>982</v>
      </c>
      <c r="C486" s="490"/>
      <c r="D486" s="488">
        <v>15000</v>
      </c>
      <c r="E486" s="488">
        <v>10000</v>
      </c>
      <c r="F486" s="470">
        <f t="shared" si="30"/>
        <v>10000</v>
      </c>
      <c r="G486" s="488"/>
      <c r="H486" s="798"/>
      <c r="I486" s="488">
        <v>15000</v>
      </c>
      <c r="J486" s="488">
        <v>10000</v>
      </c>
      <c r="K486" s="488">
        <v>10000</v>
      </c>
      <c r="L486" s="488"/>
      <c r="M486" s="622"/>
    </row>
    <row r="487" spans="1:13" ht="20.100000000000001" customHeight="1">
      <c r="A487" s="171"/>
      <c r="B487" s="170" t="s">
        <v>983</v>
      </c>
      <c r="C487" s="490"/>
      <c r="D487" s="488">
        <v>20000</v>
      </c>
      <c r="E487" s="488">
        <v>10000</v>
      </c>
      <c r="F487" s="470">
        <f t="shared" si="30"/>
        <v>10000</v>
      </c>
      <c r="G487" s="488"/>
      <c r="H487" s="798"/>
      <c r="I487" s="488">
        <v>20000</v>
      </c>
      <c r="J487" s="488">
        <v>10000</v>
      </c>
      <c r="K487" s="488">
        <v>10000</v>
      </c>
      <c r="L487" s="488"/>
      <c r="M487" s="622"/>
    </row>
    <row r="488" spans="1:13" ht="20.100000000000001" customHeight="1">
      <c r="A488" s="171"/>
      <c r="B488" s="170" t="s">
        <v>984</v>
      </c>
      <c r="C488" s="490"/>
      <c r="D488" s="488">
        <v>16000</v>
      </c>
      <c r="E488" s="488">
        <v>15000</v>
      </c>
      <c r="F488" s="470">
        <f t="shared" si="30"/>
        <v>15000</v>
      </c>
      <c r="G488" s="488"/>
      <c r="H488" s="798"/>
      <c r="I488" s="488"/>
      <c r="J488" s="488"/>
      <c r="K488" s="488"/>
      <c r="L488" s="488"/>
      <c r="M488" s="622"/>
    </row>
    <row r="489" spans="1:13" ht="20.100000000000001" customHeight="1">
      <c r="A489" s="171"/>
      <c r="B489" s="170" t="s">
        <v>985</v>
      </c>
      <c r="C489" s="490"/>
      <c r="D489" s="488">
        <v>8000</v>
      </c>
      <c r="E489" s="488">
        <v>8000</v>
      </c>
      <c r="F489" s="470">
        <f t="shared" si="30"/>
        <v>8000</v>
      </c>
      <c r="G489" s="488"/>
      <c r="H489" s="798"/>
      <c r="I489" s="488"/>
      <c r="J489" s="488"/>
      <c r="K489" s="488"/>
      <c r="L489" s="488"/>
      <c r="M489" s="622"/>
    </row>
    <row r="490" spans="1:13" ht="20.100000000000001" customHeight="1">
      <c r="A490" s="171"/>
      <c r="B490" s="170" t="s">
        <v>1426</v>
      </c>
      <c r="C490" s="490"/>
      <c r="D490" s="488"/>
      <c r="E490" s="488"/>
      <c r="F490" s="470"/>
      <c r="G490" s="488"/>
      <c r="H490" s="798"/>
      <c r="I490" s="488">
        <v>20000</v>
      </c>
      <c r="J490" s="488">
        <v>10000</v>
      </c>
      <c r="K490" s="488">
        <v>10000</v>
      </c>
      <c r="L490" s="488"/>
      <c r="M490" s="622"/>
    </row>
    <row r="491" spans="1:13" ht="20.100000000000001" customHeight="1">
      <c r="A491" s="171"/>
      <c r="B491" s="170" t="s">
        <v>1427</v>
      </c>
      <c r="C491" s="490"/>
      <c r="D491" s="488"/>
      <c r="E491" s="488"/>
      <c r="F491" s="470"/>
      <c r="G491" s="488"/>
      <c r="H491" s="798"/>
      <c r="I491" s="488">
        <v>20000</v>
      </c>
      <c r="J491" s="488"/>
      <c r="K491" s="488"/>
      <c r="L491" s="488"/>
      <c r="M491" s="622"/>
    </row>
    <row r="492" spans="1:13" ht="20.100000000000001" customHeight="1">
      <c r="A492" s="171"/>
      <c r="B492" s="170" t="s">
        <v>1428</v>
      </c>
      <c r="C492" s="490"/>
      <c r="D492" s="488"/>
      <c r="E492" s="488"/>
      <c r="F492" s="470"/>
      <c r="G492" s="488"/>
      <c r="H492" s="798"/>
      <c r="I492" s="488">
        <v>20000</v>
      </c>
      <c r="J492" s="488">
        <v>10000</v>
      </c>
      <c r="K492" s="488">
        <v>10000</v>
      </c>
      <c r="L492" s="488"/>
      <c r="M492" s="622"/>
    </row>
    <row r="493" spans="1:13" ht="20.100000000000001" customHeight="1">
      <c r="A493" s="171"/>
      <c r="B493" s="170" t="s">
        <v>1429</v>
      </c>
      <c r="C493" s="490"/>
      <c r="D493" s="488"/>
      <c r="E493" s="488"/>
      <c r="F493" s="470"/>
      <c r="G493" s="488"/>
      <c r="H493" s="798"/>
      <c r="I493" s="488">
        <v>20000</v>
      </c>
      <c r="J493" s="488">
        <v>10000</v>
      </c>
      <c r="K493" s="488">
        <v>10000</v>
      </c>
      <c r="L493" s="488"/>
      <c r="M493" s="622"/>
    </row>
    <row r="494" spans="1:13" ht="20.100000000000001" customHeight="1">
      <c r="A494" s="171"/>
      <c r="B494" s="170" t="s">
        <v>1430</v>
      </c>
      <c r="C494" s="490"/>
      <c r="D494" s="488"/>
      <c r="E494" s="488"/>
      <c r="F494" s="470"/>
      <c r="G494" s="488"/>
      <c r="H494" s="798"/>
      <c r="I494" s="488">
        <v>15000</v>
      </c>
      <c r="J494" s="488"/>
      <c r="K494" s="488"/>
      <c r="L494" s="488"/>
      <c r="M494" s="622"/>
    </row>
    <row r="495" spans="1:13" ht="20.100000000000001" customHeight="1">
      <c r="A495" s="171"/>
      <c r="B495" s="170" t="s">
        <v>1431</v>
      </c>
      <c r="C495" s="490"/>
      <c r="D495" s="488"/>
      <c r="E495" s="488"/>
      <c r="F495" s="470"/>
      <c r="G495" s="488"/>
      <c r="H495" s="798"/>
      <c r="I495" s="488">
        <v>30000</v>
      </c>
      <c r="J495" s="488"/>
      <c r="K495" s="488"/>
      <c r="L495" s="488"/>
      <c r="M495" s="622"/>
    </row>
    <row r="496" spans="1:13" ht="20.100000000000001" customHeight="1">
      <c r="A496" s="171"/>
      <c r="B496" s="170" t="s">
        <v>1432</v>
      </c>
      <c r="C496" s="490"/>
      <c r="D496" s="488"/>
      <c r="E496" s="488"/>
      <c r="F496" s="470"/>
      <c r="G496" s="488"/>
      <c r="H496" s="798"/>
      <c r="I496" s="488">
        <v>20000</v>
      </c>
      <c r="J496" s="488">
        <v>20000</v>
      </c>
      <c r="K496" s="488">
        <v>20000</v>
      </c>
      <c r="L496" s="488"/>
      <c r="M496" s="622"/>
    </row>
    <row r="497" spans="1:13" ht="20.100000000000001" customHeight="1">
      <c r="A497" s="171"/>
      <c r="B497" s="170" t="s">
        <v>1433</v>
      </c>
      <c r="C497" s="490"/>
      <c r="D497" s="488"/>
      <c r="E497" s="488"/>
      <c r="F497" s="470"/>
      <c r="G497" s="488"/>
      <c r="H497" s="798"/>
      <c r="I497" s="488">
        <v>45000</v>
      </c>
      <c r="J497" s="488"/>
      <c r="K497" s="488"/>
      <c r="L497" s="488"/>
      <c r="M497" s="622"/>
    </row>
    <row r="498" spans="1:13" ht="20.100000000000001" customHeight="1">
      <c r="A498" s="171"/>
      <c r="B498" s="170" t="s">
        <v>1434</v>
      </c>
      <c r="C498" s="490"/>
      <c r="D498" s="488"/>
      <c r="E498" s="488"/>
      <c r="F498" s="470"/>
      <c r="G498" s="488"/>
      <c r="H498" s="798"/>
      <c r="I498" s="488">
        <v>315000</v>
      </c>
      <c r="J498" s="488"/>
      <c r="K498" s="488"/>
      <c r="L498" s="488"/>
      <c r="M498" s="622"/>
    </row>
    <row r="499" spans="1:13" ht="20.100000000000001" customHeight="1">
      <c r="A499" s="171"/>
      <c r="B499" s="170" t="s">
        <v>1435</v>
      </c>
      <c r="C499" s="490"/>
      <c r="D499" s="488"/>
      <c r="E499" s="488"/>
      <c r="F499" s="470"/>
      <c r="G499" s="488"/>
      <c r="H499" s="798"/>
      <c r="I499" s="488">
        <v>12000</v>
      </c>
      <c r="J499" s="488">
        <v>10000</v>
      </c>
      <c r="K499" s="488">
        <v>10000</v>
      </c>
      <c r="L499" s="488"/>
      <c r="M499" s="622"/>
    </row>
    <row r="500" spans="1:13" ht="20.100000000000001" customHeight="1">
      <c r="A500" s="171"/>
      <c r="B500" s="170" t="s">
        <v>1436</v>
      </c>
      <c r="C500" s="490"/>
      <c r="D500" s="488"/>
      <c r="E500" s="488"/>
      <c r="F500" s="470"/>
      <c r="G500" s="488"/>
      <c r="H500" s="798"/>
      <c r="I500" s="488">
        <v>3000</v>
      </c>
      <c r="J500" s="488">
        <v>3000</v>
      </c>
      <c r="K500" s="488">
        <v>3000</v>
      </c>
      <c r="L500" s="488"/>
      <c r="M500" s="622"/>
    </row>
    <row r="501" spans="1:13" ht="20.100000000000001" customHeight="1">
      <c r="A501" s="171"/>
      <c r="B501" s="170" t="s">
        <v>1437</v>
      </c>
      <c r="C501" s="490"/>
      <c r="D501" s="488"/>
      <c r="E501" s="488"/>
      <c r="F501" s="470"/>
      <c r="G501" s="488"/>
      <c r="H501" s="798"/>
      <c r="I501" s="488">
        <v>8000</v>
      </c>
      <c r="J501" s="488"/>
      <c r="K501" s="488"/>
      <c r="L501" s="488"/>
      <c r="M501" s="622"/>
    </row>
    <row r="502" spans="1:13" ht="20.100000000000001" customHeight="1">
      <c r="A502" s="176">
        <v>7</v>
      </c>
      <c r="B502" s="785" t="s">
        <v>147</v>
      </c>
      <c r="C502" s="786">
        <f>C503+C512+C513</f>
        <v>0</v>
      </c>
      <c r="D502" s="787">
        <f>D503+D512+D513+D518</f>
        <v>705000</v>
      </c>
      <c r="E502" s="787">
        <f>E503+E512+E513+E518</f>
        <v>372000</v>
      </c>
      <c r="F502" s="466">
        <f t="shared" si="30"/>
        <v>372000</v>
      </c>
      <c r="G502" s="787"/>
      <c r="H502" s="789"/>
      <c r="I502" s="787">
        <f>I503+I512+I513+I518</f>
        <v>545000</v>
      </c>
      <c r="J502" s="787">
        <f>J503+J512+J513+J518</f>
        <v>372000</v>
      </c>
      <c r="K502" s="787">
        <f>K503+K512+K513+K518</f>
        <v>372000</v>
      </c>
      <c r="L502" s="787"/>
      <c r="M502" s="803"/>
    </row>
    <row r="503" spans="1:13" ht="20.100000000000001" customHeight="1">
      <c r="A503" s="171" t="s">
        <v>117</v>
      </c>
      <c r="B503" s="169" t="s">
        <v>583</v>
      </c>
      <c r="C503" s="471">
        <f>SUM(C504:C505)</f>
        <v>0</v>
      </c>
      <c r="D503" s="472">
        <f>SUM(D504:D509)</f>
        <v>540000</v>
      </c>
      <c r="E503" s="472">
        <f>SUM(E504:E509)</f>
        <v>272000</v>
      </c>
      <c r="F503" s="466">
        <f>E503</f>
        <v>272000</v>
      </c>
      <c r="G503" s="472"/>
      <c r="H503" s="775"/>
      <c r="I503" s="472">
        <f>SUM(I504:I511)</f>
        <v>430000</v>
      </c>
      <c r="J503" s="472">
        <f>SUM(J504:J511)</f>
        <v>302000</v>
      </c>
      <c r="K503" s="472">
        <f>SUM(K504:K511)</f>
        <v>302000</v>
      </c>
      <c r="L503" s="472"/>
      <c r="M503" s="622"/>
    </row>
    <row r="504" spans="1:13" ht="20.100000000000001" customHeight="1">
      <c r="A504" s="171"/>
      <c r="B504" s="170" t="s">
        <v>986</v>
      </c>
      <c r="C504" s="485"/>
      <c r="D504" s="484">
        <v>150000</v>
      </c>
      <c r="E504" s="484">
        <v>100000</v>
      </c>
      <c r="F504" s="470">
        <f t="shared" si="30"/>
        <v>100000</v>
      </c>
      <c r="G504" s="484"/>
      <c r="H504" s="791"/>
      <c r="I504" s="484">
        <v>150000</v>
      </c>
      <c r="J504" s="484">
        <v>100000</v>
      </c>
      <c r="K504" s="484">
        <v>100000</v>
      </c>
      <c r="L504" s="484"/>
      <c r="M504" s="820"/>
    </row>
    <row r="505" spans="1:13" ht="20.100000000000001" customHeight="1">
      <c r="A505" s="171"/>
      <c r="B505" s="170" t="s">
        <v>371</v>
      </c>
      <c r="C505" s="485"/>
      <c r="D505" s="484">
        <v>30000</v>
      </c>
      <c r="E505" s="484">
        <v>20000</v>
      </c>
      <c r="F505" s="470">
        <f t="shared" si="30"/>
        <v>20000</v>
      </c>
      <c r="G505" s="484"/>
      <c r="H505" s="791"/>
      <c r="I505" s="484">
        <v>30000</v>
      </c>
      <c r="J505" s="484">
        <v>20000</v>
      </c>
      <c r="K505" s="484">
        <v>20000</v>
      </c>
      <c r="L505" s="484"/>
      <c r="M505" s="622"/>
    </row>
    <row r="506" spans="1:13" ht="20.100000000000001" customHeight="1">
      <c r="A506" s="171"/>
      <c r="B506" s="170" t="s">
        <v>988</v>
      </c>
      <c r="C506" s="485"/>
      <c r="D506" s="484">
        <v>60000</v>
      </c>
      <c r="E506" s="484">
        <v>42000</v>
      </c>
      <c r="F506" s="470">
        <f t="shared" si="30"/>
        <v>42000</v>
      </c>
      <c r="G506" s="484"/>
      <c r="H506" s="791"/>
      <c r="I506" s="484">
        <v>60000</v>
      </c>
      <c r="J506" s="484">
        <v>42000</v>
      </c>
      <c r="K506" s="484">
        <v>42000</v>
      </c>
      <c r="L506" s="484"/>
      <c r="M506" s="623" t="s">
        <v>989</v>
      </c>
    </row>
    <row r="507" spans="1:13" ht="20.100000000000001" customHeight="1">
      <c r="A507" s="171"/>
      <c r="B507" s="170" t="s">
        <v>990</v>
      </c>
      <c r="C507" s="485"/>
      <c r="D507" s="484">
        <v>120000</v>
      </c>
      <c r="E507" s="484"/>
      <c r="F507" s="470">
        <f t="shared" si="30"/>
        <v>0</v>
      </c>
      <c r="G507" s="484"/>
      <c r="H507" s="791"/>
      <c r="I507" s="484"/>
      <c r="J507" s="484"/>
      <c r="K507" s="484"/>
      <c r="L507" s="484"/>
      <c r="M507" s="761" t="s">
        <v>991</v>
      </c>
    </row>
    <row r="508" spans="1:13" ht="20.100000000000001" customHeight="1">
      <c r="A508" s="171"/>
      <c r="B508" s="170" t="s">
        <v>992</v>
      </c>
      <c r="C508" s="485"/>
      <c r="D508" s="484">
        <v>150000</v>
      </c>
      <c r="E508" s="484">
        <v>100000</v>
      </c>
      <c r="F508" s="470">
        <f t="shared" si="30"/>
        <v>100000</v>
      </c>
      <c r="G508" s="484"/>
      <c r="H508" s="791"/>
      <c r="I508" s="484">
        <v>100000</v>
      </c>
      <c r="J508" s="484">
        <v>100000</v>
      </c>
      <c r="K508" s="484">
        <v>100000</v>
      </c>
      <c r="L508" s="484"/>
      <c r="M508" s="761" t="s">
        <v>1438</v>
      </c>
    </row>
    <row r="509" spans="1:13" ht="20.100000000000001" customHeight="1">
      <c r="A509" s="171"/>
      <c r="B509" s="170" t="s">
        <v>994</v>
      </c>
      <c r="C509" s="485"/>
      <c r="D509" s="484">
        <v>30000</v>
      </c>
      <c r="E509" s="484">
        <v>10000</v>
      </c>
      <c r="F509" s="470">
        <f t="shared" si="30"/>
        <v>10000</v>
      </c>
      <c r="G509" s="484"/>
      <c r="H509" s="791"/>
      <c r="I509" s="484">
        <v>10000</v>
      </c>
      <c r="J509" s="484">
        <v>10000</v>
      </c>
      <c r="K509" s="484">
        <v>10000</v>
      </c>
      <c r="L509" s="484"/>
      <c r="M509" s="624" t="s">
        <v>976</v>
      </c>
    </row>
    <row r="510" spans="1:13" ht="20.100000000000001" customHeight="1">
      <c r="A510" s="171"/>
      <c r="B510" s="170" t="s">
        <v>1439</v>
      </c>
      <c r="C510" s="485"/>
      <c r="D510" s="484"/>
      <c r="E510" s="484"/>
      <c r="F510" s="470"/>
      <c r="G510" s="484"/>
      <c r="H510" s="791"/>
      <c r="I510" s="484">
        <v>50000</v>
      </c>
      <c r="J510" s="484">
        <v>20000</v>
      </c>
      <c r="K510" s="484">
        <v>20000</v>
      </c>
      <c r="L510" s="484"/>
      <c r="M510" s="624"/>
    </row>
    <row r="511" spans="1:13" ht="20.100000000000001" customHeight="1">
      <c r="A511" s="171"/>
      <c r="B511" s="170" t="s">
        <v>1440</v>
      </c>
      <c r="C511" s="485"/>
      <c r="D511" s="484"/>
      <c r="E511" s="484"/>
      <c r="F511" s="470"/>
      <c r="G511" s="484"/>
      <c r="H511" s="791"/>
      <c r="I511" s="484">
        <v>30000</v>
      </c>
      <c r="J511" s="484">
        <v>10000</v>
      </c>
      <c r="K511" s="484">
        <v>10000</v>
      </c>
      <c r="L511" s="484"/>
      <c r="M511" s="624"/>
    </row>
    <row r="512" spans="1:13" ht="20.100000000000001" customHeight="1">
      <c r="A512" s="171" t="s">
        <v>118</v>
      </c>
      <c r="B512" s="169" t="s">
        <v>584</v>
      </c>
      <c r="C512" s="471"/>
      <c r="D512" s="472">
        <v>10000</v>
      </c>
      <c r="E512" s="472">
        <v>10000</v>
      </c>
      <c r="F512" s="466">
        <f t="shared" si="30"/>
        <v>10000</v>
      </c>
      <c r="G512" s="472"/>
      <c r="H512" s="775"/>
      <c r="I512" s="472">
        <v>10000</v>
      </c>
      <c r="J512" s="472">
        <v>10000</v>
      </c>
      <c r="K512" s="472">
        <v>10000</v>
      </c>
      <c r="L512" s="472"/>
      <c r="M512" s="622"/>
    </row>
    <row r="513" spans="1:15" s="118" customFormat="1" ht="20.100000000000001" customHeight="1">
      <c r="A513" s="171" t="s">
        <v>119</v>
      </c>
      <c r="B513" s="169" t="s">
        <v>585</v>
      </c>
      <c r="C513" s="471">
        <f>SUM(C514:C515)</f>
        <v>0</v>
      </c>
      <c r="D513" s="472">
        <f>SUM(D514:D517)</f>
        <v>140000</v>
      </c>
      <c r="E513" s="472">
        <f>SUM(E514:E517)</f>
        <v>75000</v>
      </c>
      <c r="F513" s="466">
        <f t="shared" si="30"/>
        <v>75000</v>
      </c>
      <c r="G513" s="472"/>
      <c r="H513" s="775"/>
      <c r="I513" s="472">
        <f>SUM(I514:I517)</f>
        <v>85000</v>
      </c>
      <c r="J513" s="472">
        <f>SUM(J514:J517)</f>
        <v>45000</v>
      </c>
      <c r="K513" s="472">
        <f>SUM(K514:K517)</f>
        <v>45000</v>
      </c>
      <c r="L513" s="472"/>
      <c r="M513" s="636"/>
    </row>
    <row r="514" spans="1:15" s="118" customFormat="1" ht="20.100000000000001" customHeight="1">
      <c r="A514" s="173"/>
      <c r="B514" s="170" t="s">
        <v>120</v>
      </c>
      <c r="C514" s="485"/>
      <c r="D514" s="484">
        <v>40000</v>
      </c>
      <c r="E514" s="484">
        <v>25000</v>
      </c>
      <c r="F514" s="470">
        <f t="shared" si="30"/>
        <v>25000</v>
      </c>
      <c r="G514" s="484"/>
      <c r="H514" s="791"/>
      <c r="I514" s="484">
        <v>40000</v>
      </c>
      <c r="J514" s="484">
        <v>25000</v>
      </c>
      <c r="K514" s="484">
        <v>25000</v>
      </c>
      <c r="L514" s="484"/>
      <c r="M514" s="636"/>
    </row>
    <row r="515" spans="1:15" s="118" customFormat="1" ht="20.100000000000001" customHeight="1">
      <c r="A515" s="173"/>
      <c r="B515" s="170" t="s">
        <v>473</v>
      </c>
      <c r="C515" s="485"/>
      <c r="D515" s="484">
        <v>30000</v>
      </c>
      <c r="E515" s="484">
        <v>10000</v>
      </c>
      <c r="F515" s="470">
        <f t="shared" si="30"/>
        <v>10000</v>
      </c>
      <c r="G515" s="484"/>
      <c r="H515" s="791"/>
      <c r="I515" s="484">
        <v>30000</v>
      </c>
      <c r="J515" s="484">
        <v>10000</v>
      </c>
      <c r="K515" s="484">
        <v>10000</v>
      </c>
      <c r="L515" s="484"/>
      <c r="M515" s="636"/>
    </row>
    <row r="516" spans="1:15" s="118" customFormat="1" ht="20.100000000000001" customHeight="1">
      <c r="A516" s="173"/>
      <c r="B516" s="170" t="s">
        <v>995</v>
      </c>
      <c r="C516" s="485"/>
      <c r="D516" s="484">
        <v>50000</v>
      </c>
      <c r="E516" s="484">
        <v>30000</v>
      </c>
      <c r="F516" s="470">
        <f t="shared" si="30"/>
        <v>30000</v>
      </c>
      <c r="G516" s="484"/>
      <c r="H516" s="791"/>
      <c r="I516" s="484"/>
      <c r="J516" s="484"/>
      <c r="K516" s="484"/>
      <c r="L516" s="484"/>
      <c r="M516" s="634"/>
    </row>
    <row r="517" spans="1:15" s="118" customFormat="1" ht="20.100000000000001" customHeight="1">
      <c r="A517" s="173"/>
      <c r="B517" s="170" t="s">
        <v>997</v>
      </c>
      <c r="C517" s="485"/>
      <c r="D517" s="484">
        <v>20000</v>
      </c>
      <c r="E517" s="484">
        <v>10000</v>
      </c>
      <c r="F517" s="470">
        <f t="shared" si="30"/>
        <v>10000</v>
      </c>
      <c r="G517" s="484"/>
      <c r="H517" s="791"/>
      <c r="I517" s="484">
        <v>15000</v>
      </c>
      <c r="J517" s="484">
        <v>10000</v>
      </c>
      <c r="K517" s="484">
        <v>10000</v>
      </c>
      <c r="L517" s="484"/>
      <c r="M517" s="622" t="s">
        <v>976</v>
      </c>
    </row>
    <row r="518" spans="1:15" s="118" customFormat="1" ht="20.100000000000001" customHeight="1">
      <c r="A518" s="171" t="s">
        <v>998</v>
      </c>
      <c r="B518" s="169" t="s">
        <v>999</v>
      </c>
      <c r="C518" s="471"/>
      <c r="D518" s="472">
        <v>15000</v>
      </c>
      <c r="E518" s="472">
        <v>15000</v>
      </c>
      <c r="F518" s="466">
        <f t="shared" si="30"/>
        <v>15000</v>
      </c>
      <c r="G518" s="472"/>
      <c r="H518" s="775"/>
      <c r="I518" s="472">
        <v>20000</v>
      </c>
      <c r="J518" s="472">
        <v>15000</v>
      </c>
      <c r="K518" s="472">
        <v>15000</v>
      </c>
      <c r="L518" s="472"/>
      <c r="M518" s="636"/>
    </row>
    <row r="519" spans="1:15" ht="20.100000000000001" customHeight="1">
      <c r="A519" s="176">
        <v>8</v>
      </c>
      <c r="B519" s="785" t="s">
        <v>38</v>
      </c>
      <c r="C519" s="471"/>
      <c r="D519" s="472">
        <f>D523+D528</f>
        <v>1775990.6162999999</v>
      </c>
      <c r="E519" s="472">
        <f>E523+E528</f>
        <v>1775990.6162999999</v>
      </c>
      <c r="F519" s="466">
        <f t="shared" si="30"/>
        <v>1775990.6162999999</v>
      </c>
      <c r="G519" s="472"/>
      <c r="H519" s="775"/>
      <c r="I519" s="472">
        <f>I523+I528</f>
        <v>2131119.3260500003</v>
      </c>
      <c r="J519" s="472">
        <f>J523+J528</f>
        <v>1924579.32605</v>
      </c>
      <c r="K519" s="472">
        <f>K523+K528</f>
        <v>1924579.32605</v>
      </c>
      <c r="L519" s="472"/>
      <c r="M519" s="622"/>
    </row>
    <row r="520" spans="1:15" ht="20.100000000000001" customHeight="1">
      <c r="A520" s="173"/>
      <c r="B520" s="169" t="s">
        <v>566</v>
      </c>
      <c r="C520" s="471"/>
      <c r="D520" s="472">
        <f>D523+D528</f>
        <v>1775990.6162999999</v>
      </c>
      <c r="E520" s="472">
        <f>E523+E528</f>
        <v>1775990.6162999999</v>
      </c>
      <c r="F520" s="466">
        <f t="shared" si="30"/>
        <v>1775990.6162999999</v>
      </c>
      <c r="G520" s="472"/>
      <c r="H520" s="775"/>
      <c r="I520" s="472">
        <f>I523+I528</f>
        <v>2131119.3260500003</v>
      </c>
      <c r="J520" s="472">
        <f>J523+J528</f>
        <v>1924579.32605</v>
      </c>
      <c r="K520" s="472">
        <f>K523+K528</f>
        <v>1924579.32605</v>
      </c>
      <c r="L520" s="472"/>
      <c r="M520" s="622"/>
    </row>
    <row r="521" spans="1:15" ht="20.100000000000001" customHeight="1">
      <c r="A521" s="171"/>
      <c r="B521" s="169" t="s">
        <v>785</v>
      </c>
      <c r="C521" s="492"/>
      <c r="D521" s="491">
        <v>150000</v>
      </c>
      <c r="E521" s="491">
        <v>150000</v>
      </c>
      <c r="F521" s="466">
        <f t="shared" si="30"/>
        <v>150000</v>
      </c>
      <c r="G521" s="491"/>
      <c r="H521" s="799"/>
      <c r="I521" s="491">
        <v>135000</v>
      </c>
      <c r="J521" s="491">
        <v>135000</v>
      </c>
      <c r="K521" s="491">
        <v>135000</v>
      </c>
      <c r="L521" s="491"/>
      <c r="M521" s="622" t="s">
        <v>1000</v>
      </c>
    </row>
    <row r="522" spans="1:15" ht="20.100000000000001" customHeight="1">
      <c r="A522" s="171"/>
      <c r="B522" s="169" t="s">
        <v>786</v>
      </c>
      <c r="C522" s="492"/>
      <c r="D522" s="491">
        <v>150000</v>
      </c>
      <c r="E522" s="491">
        <v>150000</v>
      </c>
      <c r="F522" s="466">
        <f t="shared" si="30"/>
        <v>150000</v>
      </c>
      <c r="G522" s="491"/>
      <c r="H522" s="799"/>
      <c r="I522" s="491">
        <v>135000</v>
      </c>
      <c r="J522" s="491">
        <v>135000</v>
      </c>
      <c r="K522" s="491">
        <v>135000</v>
      </c>
      <c r="L522" s="491"/>
      <c r="M522" s="622" t="s">
        <v>1000</v>
      </c>
    </row>
    <row r="523" spans="1:15" ht="20.100000000000001" customHeight="1">
      <c r="A523" s="171" t="s">
        <v>474</v>
      </c>
      <c r="B523" s="169" t="s">
        <v>404</v>
      </c>
      <c r="C523" s="471"/>
      <c r="D523" s="472">
        <f>D524+D527</f>
        <v>1427990.6162999999</v>
      </c>
      <c r="E523" s="472">
        <f>E524+E527</f>
        <v>1427990.6162999999</v>
      </c>
      <c r="F523" s="466">
        <f t="shared" si="30"/>
        <v>1427990.6162999999</v>
      </c>
      <c r="G523" s="472"/>
      <c r="H523" s="775"/>
      <c r="I523" s="472">
        <f>I524+I527</f>
        <v>1534079.32605</v>
      </c>
      <c r="J523" s="472">
        <f>J524+J527</f>
        <v>1534079.32605</v>
      </c>
      <c r="K523" s="472">
        <f>K524+K527</f>
        <v>1534079.32605</v>
      </c>
      <c r="L523" s="472"/>
      <c r="M523" s="634"/>
    </row>
    <row r="524" spans="1:15" ht="20.100000000000001" customHeight="1">
      <c r="A524" s="171"/>
      <c r="B524" s="169" t="s">
        <v>377</v>
      </c>
      <c r="C524" s="471"/>
      <c r="D524" s="472">
        <f>(D525+D526)</f>
        <v>1172766.2963999999</v>
      </c>
      <c r="E524" s="472">
        <f>(E525+E526)</f>
        <v>1172766.2963999999</v>
      </c>
      <c r="F524" s="466">
        <f t="shared" si="30"/>
        <v>1172766.2963999999</v>
      </c>
      <c r="G524" s="472"/>
      <c r="H524" s="775"/>
      <c r="I524" s="472">
        <f>(I525+I526)</f>
        <v>1275190.0674000001</v>
      </c>
      <c r="J524" s="472">
        <f>(J525+J526)</f>
        <v>1275190.0674000001</v>
      </c>
      <c r="K524" s="472">
        <f>(K525+K526)</f>
        <v>1275190.0674000001</v>
      </c>
      <c r="L524" s="472"/>
      <c r="M524" s="622"/>
      <c r="N524" s="116" t="e">
        <f>#REF!+#REF!+#REF!+#REF!+#REF!</f>
        <v>#REF!</v>
      </c>
    </row>
    <row r="525" spans="1:15" ht="20.100000000000001" customHeight="1">
      <c r="A525" s="173"/>
      <c r="B525" s="170" t="s">
        <v>1441</v>
      </c>
      <c r="C525" s="489">
        <f>47.37+1.228+1.2+5.249+0.2+0.3+0.8+1.86+0.1</f>
        <v>58.307000000000002</v>
      </c>
      <c r="D525" s="488">
        <f>C525*1390*12</f>
        <v>972560.76</v>
      </c>
      <c r="E525" s="488">
        <f>D525</f>
        <v>972560.76</v>
      </c>
      <c r="F525" s="470">
        <f t="shared" si="30"/>
        <v>972560.76</v>
      </c>
      <c r="G525" s="488"/>
      <c r="H525" s="795">
        <f>47.69+1.563+0.8+1.2+5.45+0.2+0.3+1.86+0.1</f>
        <v>59.163000000000004</v>
      </c>
      <c r="I525" s="488">
        <f>H525*1490*12</f>
        <v>1057834.4400000002</v>
      </c>
      <c r="J525" s="488">
        <f t="shared" ref="J525:K527" si="31">I525</f>
        <v>1057834.4400000002</v>
      </c>
      <c r="K525" s="488">
        <f t="shared" si="31"/>
        <v>1057834.4400000002</v>
      </c>
      <c r="L525" s="488"/>
      <c r="M525" s="645"/>
      <c r="N525" s="341" t="e">
        <f>#REF!</f>
        <v>#REF!</v>
      </c>
      <c r="O525" s="116" t="e">
        <f>N525</f>
        <v>#REF!</v>
      </c>
    </row>
    <row r="526" spans="1:15" ht="20.100000000000001" customHeight="1">
      <c r="A526" s="171"/>
      <c r="B526" s="170" t="s">
        <v>733</v>
      </c>
      <c r="C526" s="489">
        <f>(47.37+1.228+0.8+1.86)*23.5%-(3.99+0.3)*1%</f>
        <v>12.002729999999998</v>
      </c>
      <c r="D526" s="488">
        <f>C526*1390*12</f>
        <v>200205.53639999998</v>
      </c>
      <c r="E526" s="488">
        <f>D526</f>
        <v>200205.53639999998</v>
      </c>
      <c r="F526" s="470">
        <f t="shared" si="30"/>
        <v>200205.53639999998</v>
      </c>
      <c r="G526" s="488"/>
      <c r="H526" s="795">
        <f>(47.69+1.563+0.8+1.86)*23.5%-4.32*1%</f>
        <v>12.156354999999998</v>
      </c>
      <c r="I526" s="488">
        <f>H526*1490*12</f>
        <v>217355.62739999994</v>
      </c>
      <c r="J526" s="488">
        <f t="shared" si="31"/>
        <v>217355.62739999994</v>
      </c>
      <c r="K526" s="488">
        <f t="shared" si="31"/>
        <v>217355.62739999994</v>
      </c>
      <c r="L526" s="488"/>
      <c r="M526" s="622"/>
      <c r="N526" s="116" t="e">
        <f>(#REF!+#REF!)*20/80</f>
        <v>#REF!</v>
      </c>
      <c r="O526" s="116" t="e">
        <f>#REF!-N526</f>
        <v>#REF!</v>
      </c>
    </row>
    <row r="527" spans="1:15" ht="20.100000000000001" customHeight="1">
      <c r="A527" s="171"/>
      <c r="B527" s="169" t="s">
        <v>796</v>
      </c>
      <c r="C527" s="492"/>
      <c r="D527" s="491">
        <f>(C525+C526)*20/80*1210*12</f>
        <v>255224.3199</v>
      </c>
      <c r="E527" s="491">
        <f>D527</f>
        <v>255224.3199</v>
      </c>
      <c r="F527" s="466">
        <f t="shared" si="30"/>
        <v>255224.3199</v>
      </c>
      <c r="G527" s="491"/>
      <c r="H527" s="799"/>
      <c r="I527" s="491">
        <f>(H525+H526)*20/80*1210*12</f>
        <v>258889.25865000003</v>
      </c>
      <c r="J527" s="491">
        <f t="shared" si="31"/>
        <v>258889.25865000003</v>
      </c>
      <c r="K527" s="491">
        <f t="shared" si="31"/>
        <v>258889.25865000003</v>
      </c>
      <c r="L527" s="491"/>
      <c r="M527" s="622"/>
      <c r="N527" s="116" t="e">
        <f>(#REF!+#REF!)*20/80</f>
        <v>#REF!</v>
      </c>
      <c r="O527" s="116" t="e">
        <f>#REF!-N527</f>
        <v>#REF!</v>
      </c>
    </row>
    <row r="528" spans="1:15" ht="20.100000000000001" customHeight="1">
      <c r="A528" s="171" t="s">
        <v>475</v>
      </c>
      <c r="B528" s="169" t="s">
        <v>380</v>
      </c>
      <c r="C528" s="471"/>
      <c r="D528" s="472">
        <f>(D529)+D541+D542+D546+D548</f>
        <v>348000</v>
      </c>
      <c r="E528" s="472">
        <f>(E529)+E541+E542+E546+E548</f>
        <v>348000</v>
      </c>
      <c r="F528" s="466">
        <f t="shared" si="30"/>
        <v>348000</v>
      </c>
      <c r="G528" s="472"/>
      <c r="H528" s="775"/>
      <c r="I528" s="472">
        <f>(I529)+I541+I542+I546+I548</f>
        <v>597040</v>
      </c>
      <c r="J528" s="472">
        <f>(J529)+J541+J542+J546+J548</f>
        <v>390500</v>
      </c>
      <c r="K528" s="472">
        <f>(K529)+K541+K542+K546+K548</f>
        <v>390500</v>
      </c>
      <c r="L528" s="472"/>
      <c r="M528" s="646"/>
      <c r="O528" s="116" t="e">
        <f>SUM(O525:O527)</f>
        <v>#REF!</v>
      </c>
    </row>
    <row r="529" spans="1:15" ht="20.100000000000001" customHeight="1">
      <c r="A529" s="171"/>
      <c r="B529" s="169" t="s">
        <v>1442</v>
      </c>
      <c r="C529" s="471">
        <f>SUM(C530:C531)</f>
        <v>0</v>
      </c>
      <c r="D529" s="472">
        <f>SUM(D530:D533)</f>
        <v>128000</v>
      </c>
      <c r="E529" s="472">
        <f>SUM(E530:E533)</f>
        <v>128000</v>
      </c>
      <c r="F529" s="472">
        <f>SUM(F530:F533)</f>
        <v>128000</v>
      </c>
      <c r="G529" s="472"/>
      <c r="H529" s="775"/>
      <c r="I529" s="472">
        <f>SUM(I530:I540)</f>
        <v>235500</v>
      </c>
      <c r="J529" s="472">
        <f>SUM(J530:J540)</f>
        <v>170500</v>
      </c>
      <c r="K529" s="472">
        <f>SUM(K530:K540)</f>
        <v>170500</v>
      </c>
      <c r="L529" s="472"/>
      <c r="M529" s="646"/>
    </row>
    <row r="530" spans="1:15" ht="20.100000000000001" customHeight="1">
      <c r="A530" s="171"/>
      <c r="B530" s="170" t="s">
        <v>1443</v>
      </c>
      <c r="C530" s="490"/>
      <c r="D530" s="488">
        <f>5000+4500+11*4000</f>
        <v>53500</v>
      </c>
      <c r="E530" s="488">
        <f>D530</f>
        <v>53500</v>
      </c>
      <c r="F530" s="470">
        <f t="shared" si="30"/>
        <v>53500</v>
      </c>
      <c r="G530" s="488"/>
      <c r="H530" s="798"/>
      <c r="I530" s="488">
        <f>6000+2*5500+10*5000</f>
        <v>67000</v>
      </c>
      <c r="J530" s="488">
        <v>67000</v>
      </c>
      <c r="K530" s="488">
        <v>67000</v>
      </c>
      <c r="L530" s="488"/>
      <c r="M530" s="647"/>
      <c r="O530" s="116">
        <v>4000</v>
      </c>
    </row>
    <row r="531" spans="1:15" ht="20.100000000000001" customHeight="1">
      <c r="A531" s="171"/>
      <c r="B531" s="170" t="s">
        <v>1003</v>
      </c>
      <c r="C531" s="490"/>
      <c r="D531" s="488">
        <v>36000</v>
      </c>
      <c r="E531" s="488">
        <v>36000</v>
      </c>
      <c r="F531" s="470">
        <f t="shared" si="30"/>
        <v>36000</v>
      </c>
      <c r="G531" s="488"/>
      <c r="H531" s="798"/>
      <c r="I531" s="488">
        <v>36000</v>
      </c>
      <c r="J531" s="488">
        <v>36000</v>
      </c>
      <c r="K531" s="488">
        <v>36000</v>
      </c>
      <c r="L531" s="488"/>
      <c r="M531" s="622"/>
    </row>
    <row r="532" spans="1:15" ht="20.100000000000001" customHeight="1">
      <c r="A532" s="171"/>
      <c r="B532" s="170" t="s">
        <v>1444</v>
      </c>
      <c r="C532" s="490"/>
      <c r="D532" s="488">
        <f>22000</f>
        <v>22000</v>
      </c>
      <c r="E532" s="488">
        <v>22000</v>
      </c>
      <c r="F532" s="470">
        <f t="shared" si="30"/>
        <v>22000</v>
      </c>
      <c r="G532" s="488"/>
      <c r="H532" s="798"/>
      <c r="I532" s="488">
        <f>13*2000</f>
        <v>26000</v>
      </c>
      <c r="J532" s="488">
        <v>22000</v>
      </c>
      <c r="K532" s="488">
        <v>22000</v>
      </c>
      <c r="L532" s="488"/>
      <c r="M532" s="622"/>
    </row>
    <row r="533" spans="1:15" ht="20.100000000000001" customHeight="1">
      <c r="A533" s="171"/>
      <c r="B533" s="170" t="s">
        <v>1445</v>
      </c>
      <c r="C533" s="490"/>
      <c r="D533" s="488">
        <f>11*300*5</f>
        <v>16500</v>
      </c>
      <c r="E533" s="488">
        <f>D533</f>
        <v>16500</v>
      </c>
      <c r="F533" s="470">
        <f>E533</f>
        <v>16500</v>
      </c>
      <c r="G533" s="488"/>
      <c r="H533" s="798"/>
      <c r="I533" s="488">
        <f>13*500*5</f>
        <v>32500</v>
      </c>
      <c r="J533" s="488">
        <v>32500</v>
      </c>
      <c r="K533" s="488">
        <v>32500</v>
      </c>
      <c r="L533" s="488"/>
      <c r="M533" s="622"/>
    </row>
    <row r="534" spans="1:15" ht="20.100000000000001" customHeight="1">
      <c r="A534" s="171"/>
      <c r="B534" s="170" t="s">
        <v>1446</v>
      </c>
      <c r="C534" s="490"/>
      <c r="D534" s="488"/>
      <c r="E534" s="488"/>
      <c r="F534" s="470"/>
      <c r="G534" s="488"/>
      <c r="H534" s="798"/>
      <c r="I534" s="488">
        <v>5000</v>
      </c>
      <c r="J534" s="488"/>
      <c r="K534" s="488"/>
      <c r="L534" s="488"/>
      <c r="M534" s="622" t="s">
        <v>1447</v>
      </c>
    </row>
    <row r="535" spans="1:15" ht="20.100000000000001" customHeight="1">
      <c r="A535" s="171"/>
      <c r="B535" s="170" t="s">
        <v>1448</v>
      </c>
      <c r="C535" s="490"/>
      <c r="D535" s="488"/>
      <c r="E535" s="488"/>
      <c r="F535" s="470"/>
      <c r="G535" s="488"/>
      <c r="H535" s="798"/>
      <c r="I535" s="488">
        <v>18000</v>
      </c>
      <c r="J535" s="488"/>
      <c r="K535" s="488"/>
      <c r="L535" s="488"/>
      <c r="M535" s="622" t="s">
        <v>1447</v>
      </c>
    </row>
    <row r="536" spans="1:15" ht="20.100000000000001" customHeight="1">
      <c r="A536" s="171"/>
      <c r="B536" s="170" t="s">
        <v>1449</v>
      </c>
      <c r="C536" s="490"/>
      <c r="D536" s="488"/>
      <c r="E536" s="488"/>
      <c r="F536" s="470"/>
      <c r="G536" s="488"/>
      <c r="H536" s="798"/>
      <c r="I536" s="488">
        <v>13000</v>
      </c>
      <c r="J536" s="488"/>
      <c r="K536" s="488"/>
      <c r="L536" s="488"/>
      <c r="M536" s="622"/>
    </row>
    <row r="537" spans="1:15" ht="20.100000000000001" customHeight="1">
      <c r="A537" s="171"/>
      <c r="B537" s="170" t="s">
        <v>1450</v>
      </c>
      <c r="C537" s="490"/>
      <c r="D537" s="488"/>
      <c r="E537" s="488"/>
      <c r="F537" s="470"/>
      <c r="G537" s="488"/>
      <c r="H537" s="798"/>
      <c r="I537" s="488">
        <v>5000</v>
      </c>
      <c r="J537" s="488"/>
      <c r="K537" s="488"/>
      <c r="L537" s="488"/>
      <c r="M537" s="622" t="s">
        <v>1447</v>
      </c>
    </row>
    <row r="538" spans="1:15" ht="20.100000000000001" customHeight="1">
      <c r="A538" s="171"/>
      <c r="B538" s="170" t="s">
        <v>1451</v>
      </c>
      <c r="C538" s="490"/>
      <c r="D538" s="488"/>
      <c r="E538" s="488"/>
      <c r="F538" s="470"/>
      <c r="G538" s="488"/>
      <c r="H538" s="798"/>
      <c r="I538" s="488">
        <v>13000</v>
      </c>
      <c r="J538" s="488">
        <v>13000</v>
      </c>
      <c r="K538" s="488">
        <v>13000</v>
      </c>
      <c r="L538" s="488"/>
      <c r="M538" s="622"/>
    </row>
    <row r="539" spans="1:15" ht="20.100000000000001" customHeight="1">
      <c r="A539" s="171"/>
      <c r="B539" s="170" t="s">
        <v>1452</v>
      </c>
      <c r="C539" s="490"/>
      <c r="D539" s="488"/>
      <c r="E539" s="488"/>
      <c r="F539" s="470"/>
      <c r="G539" s="488"/>
      <c r="H539" s="798"/>
      <c r="I539" s="488">
        <v>15000</v>
      </c>
      <c r="J539" s="488"/>
      <c r="K539" s="488"/>
      <c r="L539" s="488"/>
      <c r="M539" s="622"/>
    </row>
    <row r="540" spans="1:15" ht="20.100000000000001" customHeight="1">
      <c r="A540" s="171"/>
      <c r="B540" s="170" t="s">
        <v>1453</v>
      </c>
      <c r="C540" s="490"/>
      <c r="D540" s="488"/>
      <c r="E540" s="488"/>
      <c r="F540" s="470"/>
      <c r="G540" s="488"/>
      <c r="H540" s="798"/>
      <c r="I540" s="488">
        <v>5000</v>
      </c>
      <c r="J540" s="488"/>
      <c r="K540" s="488"/>
      <c r="L540" s="488"/>
      <c r="M540" s="622" t="s">
        <v>1447</v>
      </c>
    </row>
    <row r="541" spans="1:15" ht="31.5" customHeight="1">
      <c r="A541" s="171"/>
      <c r="B541" s="169" t="s">
        <v>1006</v>
      </c>
      <c r="C541" s="492"/>
      <c r="D541" s="491">
        <v>100000</v>
      </c>
      <c r="E541" s="491">
        <v>100000</v>
      </c>
      <c r="F541" s="466">
        <f t="shared" ref="F541:F607" si="32">E541</f>
        <v>100000</v>
      </c>
      <c r="G541" s="491"/>
      <c r="H541" s="799"/>
      <c r="I541" s="491"/>
      <c r="J541" s="491">
        <v>100000</v>
      </c>
      <c r="K541" s="491">
        <v>100000</v>
      </c>
      <c r="L541" s="491"/>
      <c r="M541" s="761" t="s">
        <v>1454</v>
      </c>
    </row>
    <row r="542" spans="1:15" ht="20.100000000000001" customHeight="1">
      <c r="A542" s="171"/>
      <c r="B542" s="169" t="s">
        <v>1174</v>
      </c>
      <c r="C542" s="492"/>
      <c r="D542" s="491">
        <v>30000</v>
      </c>
      <c r="E542" s="491">
        <v>30000</v>
      </c>
      <c r="F542" s="466">
        <f t="shared" si="32"/>
        <v>30000</v>
      </c>
      <c r="G542" s="491"/>
      <c r="H542" s="799"/>
      <c r="I542" s="491">
        <f>I543+I544+I545</f>
        <v>30000</v>
      </c>
      <c r="J542" s="491">
        <f>J543+J544+J545</f>
        <v>30000</v>
      </c>
      <c r="K542" s="491">
        <f>K543+K544+K545</f>
        <v>30000</v>
      </c>
      <c r="L542" s="491"/>
      <c r="M542" s="622"/>
    </row>
    <row r="543" spans="1:15" ht="20.100000000000001" customHeight="1">
      <c r="A543" s="171"/>
      <c r="B543" s="170" t="s">
        <v>1455</v>
      </c>
      <c r="C543" s="490"/>
      <c r="D543" s="488">
        <v>15000</v>
      </c>
      <c r="E543" s="488">
        <v>15000</v>
      </c>
      <c r="F543" s="470">
        <f t="shared" si="32"/>
        <v>15000</v>
      </c>
      <c r="G543" s="488"/>
      <c r="H543" s="798"/>
      <c r="I543" s="488">
        <v>12000</v>
      </c>
      <c r="J543" s="488">
        <v>12000</v>
      </c>
      <c r="K543" s="488">
        <v>12000</v>
      </c>
      <c r="L543" s="488"/>
      <c r="M543" s="622"/>
    </row>
    <row r="544" spans="1:15" ht="20.100000000000001" customHeight="1">
      <c r="A544" s="171"/>
      <c r="B544" s="170" t="s">
        <v>1456</v>
      </c>
      <c r="C544" s="490"/>
      <c r="D544" s="488">
        <v>15000</v>
      </c>
      <c r="E544" s="488">
        <v>15000</v>
      </c>
      <c r="F544" s="470">
        <f>E544</f>
        <v>15000</v>
      </c>
      <c r="G544" s="488"/>
      <c r="H544" s="798"/>
      <c r="I544" s="488">
        <v>12000</v>
      </c>
      <c r="J544" s="488">
        <v>12000</v>
      </c>
      <c r="K544" s="488">
        <v>12000</v>
      </c>
      <c r="L544" s="488"/>
      <c r="M544" s="622"/>
    </row>
    <row r="545" spans="1:14" ht="20.100000000000001" customHeight="1">
      <c r="A545" s="171"/>
      <c r="B545" s="170" t="s">
        <v>1457</v>
      </c>
      <c r="C545" s="490"/>
      <c r="D545" s="488"/>
      <c r="E545" s="488"/>
      <c r="F545" s="470"/>
      <c r="G545" s="488"/>
      <c r="H545" s="798"/>
      <c r="I545" s="488">
        <v>6000</v>
      </c>
      <c r="J545" s="488">
        <v>6000</v>
      </c>
      <c r="K545" s="488">
        <v>6000</v>
      </c>
      <c r="L545" s="488"/>
      <c r="M545" s="622"/>
    </row>
    <row r="546" spans="1:14" ht="20.100000000000001" customHeight="1">
      <c r="A546" s="171"/>
      <c r="B546" s="169" t="s">
        <v>228</v>
      </c>
      <c r="C546" s="492"/>
      <c r="D546" s="491">
        <v>40000</v>
      </c>
      <c r="E546" s="491">
        <v>40000</v>
      </c>
      <c r="F546" s="466">
        <f t="shared" si="32"/>
        <v>40000</v>
      </c>
      <c r="G546" s="491"/>
      <c r="H546" s="799"/>
      <c r="I546" s="491">
        <v>50000</v>
      </c>
      <c r="J546" s="491">
        <v>40000</v>
      </c>
      <c r="K546" s="491">
        <v>40000</v>
      </c>
      <c r="L546" s="491"/>
      <c r="M546" s="622"/>
    </row>
    <row r="547" spans="1:14" ht="20.100000000000001" customHeight="1">
      <c r="A547" s="171"/>
      <c r="B547" s="170" t="s">
        <v>273</v>
      </c>
      <c r="C547" s="490"/>
      <c r="D547" s="488">
        <v>40000</v>
      </c>
      <c r="E547" s="488">
        <v>40000</v>
      </c>
      <c r="F547" s="470">
        <f t="shared" si="32"/>
        <v>40000</v>
      </c>
      <c r="G547" s="488"/>
      <c r="H547" s="798"/>
      <c r="I547" s="488">
        <v>50000</v>
      </c>
      <c r="J547" s="488">
        <v>40000</v>
      </c>
      <c r="K547" s="488">
        <v>40000</v>
      </c>
      <c r="L547" s="488"/>
      <c r="M547" s="622"/>
    </row>
    <row r="548" spans="1:14" ht="20.100000000000001" customHeight="1">
      <c r="A548" s="171"/>
      <c r="B548" s="169" t="s">
        <v>285</v>
      </c>
      <c r="C548" s="492"/>
      <c r="D548" s="491">
        <v>50000</v>
      </c>
      <c r="E548" s="491">
        <v>50000</v>
      </c>
      <c r="F548" s="466">
        <f t="shared" si="32"/>
        <v>50000</v>
      </c>
      <c r="G548" s="491"/>
      <c r="H548" s="799"/>
      <c r="I548" s="491">
        <v>281540</v>
      </c>
      <c r="J548" s="491">
        <v>50000</v>
      </c>
      <c r="K548" s="491">
        <v>50000</v>
      </c>
      <c r="L548" s="491"/>
      <c r="M548" s="634" t="s">
        <v>1458</v>
      </c>
    </row>
    <row r="549" spans="1:14" ht="20.100000000000001" customHeight="1">
      <c r="A549" s="171"/>
      <c r="B549" s="170" t="s">
        <v>197</v>
      </c>
      <c r="C549" s="490"/>
      <c r="D549" s="488">
        <v>40000</v>
      </c>
      <c r="E549" s="488">
        <v>40000</v>
      </c>
      <c r="F549" s="470">
        <f t="shared" si="32"/>
        <v>40000</v>
      </c>
      <c r="G549" s="488"/>
      <c r="H549" s="798"/>
      <c r="I549" s="488"/>
      <c r="J549" s="488">
        <v>40000</v>
      </c>
      <c r="K549" s="488">
        <v>40000</v>
      </c>
      <c r="L549" s="488"/>
      <c r="M549" s="622"/>
    </row>
    <row r="550" spans="1:14" ht="20.100000000000001" customHeight="1">
      <c r="A550" s="171"/>
      <c r="B550" s="170" t="s">
        <v>471</v>
      </c>
      <c r="C550" s="490"/>
      <c r="D550" s="488">
        <v>10000</v>
      </c>
      <c r="E550" s="488">
        <v>10000</v>
      </c>
      <c r="F550" s="470">
        <f t="shared" si="32"/>
        <v>10000</v>
      </c>
      <c r="G550" s="488"/>
      <c r="H550" s="798"/>
      <c r="I550" s="488"/>
      <c r="J550" s="488">
        <v>10000</v>
      </c>
      <c r="K550" s="488">
        <v>10000</v>
      </c>
      <c r="L550" s="488"/>
      <c r="M550" s="622"/>
    </row>
    <row r="551" spans="1:14" ht="20.100000000000001" customHeight="1">
      <c r="A551" s="821">
        <v>9</v>
      </c>
      <c r="B551" s="822" t="s">
        <v>286</v>
      </c>
      <c r="C551" s="471"/>
      <c r="D551" s="472">
        <f>(D553+D560+D561)</f>
        <v>950933.68650000007</v>
      </c>
      <c r="E551" s="472">
        <f>(E553+E560+E561)</f>
        <v>950933.68650000007</v>
      </c>
      <c r="F551" s="466">
        <f t="shared" si="32"/>
        <v>950933.68650000007</v>
      </c>
      <c r="G551" s="472"/>
      <c r="H551" s="775"/>
      <c r="I551" s="472">
        <f>(I553+I560+I561)</f>
        <v>968923.75900000019</v>
      </c>
      <c r="J551" s="472">
        <f>(J553+J560+J561)</f>
        <v>481080.61199999996</v>
      </c>
      <c r="K551" s="472">
        <f>(K553+K560+K561)</f>
        <v>481080.61199999996</v>
      </c>
      <c r="L551" s="472"/>
      <c r="M551" s="622"/>
    </row>
    <row r="552" spans="1:14" ht="20.100000000000001" customHeight="1">
      <c r="A552" s="171"/>
      <c r="B552" s="169" t="s">
        <v>472</v>
      </c>
      <c r="C552" s="492"/>
      <c r="D552" s="491">
        <v>100000</v>
      </c>
      <c r="E552" s="491">
        <v>100000</v>
      </c>
      <c r="F552" s="466">
        <f t="shared" si="32"/>
        <v>100000</v>
      </c>
      <c r="G552" s="491"/>
      <c r="H552" s="799"/>
      <c r="I552" s="491">
        <v>50000</v>
      </c>
      <c r="J552" s="491">
        <v>50000</v>
      </c>
      <c r="K552" s="491">
        <v>50000</v>
      </c>
      <c r="L552" s="491"/>
      <c r="M552" s="622"/>
    </row>
    <row r="553" spans="1:14" s="215" customFormat="1" ht="20.100000000000001" customHeight="1">
      <c r="A553" s="171" t="s">
        <v>477</v>
      </c>
      <c r="B553" s="169" t="s">
        <v>377</v>
      </c>
      <c r="C553" s="492"/>
      <c r="D553" s="464">
        <f>SUM(D554:D559)</f>
        <v>662932.42200000002</v>
      </c>
      <c r="E553" s="464">
        <f>SUM(E554:E559)</f>
        <v>662932.42200000002</v>
      </c>
      <c r="F553" s="466">
        <f t="shared" si="32"/>
        <v>662932.42200000002</v>
      </c>
      <c r="G553" s="464"/>
      <c r="H553" s="799"/>
      <c r="I553" s="464">
        <f>SUM(I554:I559)</f>
        <v>705203.29200000013</v>
      </c>
      <c r="J553" s="464">
        <f>SUM(J554:J559)</f>
        <v>318847.61199999996</v>
      </c>
      <c r="K553" s="464">
        <f>SUM(K554:K559)</f>
        <v>318847.61199999996</v>
      </c>
      <c r="L553" s="464"/>
      <c r="M553" s="622"/>
    </row>
    <row r="554" spans="1:14" s="215" customFormat="1" ht="20.100000000000001" customHeight="1">
      <c r="A554" s="171"/>
      <c r="B554" s="169" t="s">
        <v>478</v>
      </c>
      <c r="C554" s="490"/>
      <c r="D554" s="537"/>
      <c r="E554" s="537"/>
      <c r="F554" s="470">
        <f t="shared" si="32"/>
        <v>0</v>
      </c>
      <c r="G554" s="537"/>
      <c r="H554" s="798"/>
      <c r="I554" s="537"/>
      <c r="J554" s="537"/>
      <c r="K554" s="537"/>
      <c r="L554" s="537"/>
      <c r="M554" s="622"/>
      <c r="N554" s="215">
        <f>(5550-250)/2</f>
        <v>2650</v>
      </c>
    </row>
    <row r="555" spans="1:14" ht="20.100000000000001" customHeight="1">
      <c r="A555" s="171"/>
      <c r="B555" s="170" t="s">
        <v>479</v>
      </c>
      <c r="C555" s="489">
        <f>7.65+0.5+0.2+1.73</f>
        <v>10.08</v>
      </c>
      <c r="D555" s="488">
        <f>C555*1390*12</f>
        <v>168134.40000000002</v>
      </c>
      <c r="E555" s="488">
        <f>D555</f>
        <v>168134.40000000002</v>
      </c>
      <c r="F555" s="470">
        <f t="shared" si="32"/>
        <v>168134.40000000002</v>
      </c>
      <c r="G555" s="488"/>
      <c r="H555" s="797">
        <f>7.98+0.5+0.2</f>
        <v>8.68</v>
      </c>
      <c r="I555" s="488">
        <f>H555*1490*12</f>
        <v>155198.39999999999</v>
      </c>
      <c r="J555" s="488">
        <f>I555</f>
        <v>155198.39999999999</v>
      </c>
      <c r="K555" s="488">
        <f>J555</f>
        <v>155198.39999999999</v>
      </c>
      <c r="L555" s="488"/>
      <c r="M555" s="645"/>
    </row>
    <row r="556" spans="1:14" ht="20.100000000000001" customHeight="1">
      <c r="A556" s="171"/>
      <c r="B556" s="170" t="s">
        <v>733</v>
      </c>
      <c r="C556" s="489">
        <f>(7.65+0.5)*23.5%</f>
        <v>1.9152499999999999</v>
      </c>
      <c r="D556" s="488">
        <f>C556*1390*12</f>
        <v>31946.369999999995</v>
      </c>
      <c r="E556" s="488">
        <f>D556</f>
        <v>31946.369999999995</v>
      </c>
      <c r="F556" s="470">
        <f t="shared" si="32"/>
        <v>31946.369999999995</v>
      </c>
      <c r="G556" s="488"/>
      <c r="H556" s="797">
        <f>(7.98+0.5)*23.5%-(3.99+0.3)*1%</f>
        <v>1.9499</v>
      </c>
      <c r="I556" s="488">
        <f>H556*1490*12</f>
        <v>34864.212</v>
      </c>
      <c r="J556" s="488">
        <f>I556</f>
        <v>34864.212</v>
      </c>
      <c r="K556" s="488">
        <f>J556</f>
        <v>34864.212</v>
      </c>
      <c r="L556" s="488"/>
      <c r="M556" s="622"/>
    </row>
    <row r="557" spans="1:14" ht="20.100000000000001" customHeight="1">
      <c r="A557" s="171"/>
      <c r="B557" s="480" t="s">
        <v>480</v>
      </c>
      <c r="C557" s="490"/>
      <c r="D557" s="488"/>
      <c r="E557" s="488"/>
      <c r="F557" s="470">
        <f t="shared" si="32"/>
        <v>0</v>
      </c>
      <c r="G557" s="488"/>
      <c r="H557" s="798"/>
      <c r="I557" s="488"/>
      <c r="J557" s="488"/>
      <c r="K557" s="488"/>
      <c r="L557" s="488"/>
      <c r="M557" s="622"/>
    </row>
    <row r="558" spans="1:14" ht="20.100000000000001" customHeight="1">
      <c r="A558" s="171"/>
      <c r="B558" s="170" t="s">
        <v>481</v>
      </c>
      <c r="C558" s="489">
        <f>21.74+0.8+0.1</f>
        <v>22.64</v>
      </c>
      <c r="D558" s="488">
        <f>C558*1390*12</f>
        <v>377635.2</v>
      </c>
      <c r="E558" s="488">
        <f>D558</f>
        <v>377635.2</v>
      </c>
      <c r="F558" s="470">
        <f t="shared" si="32"/>
        <v>377635.2</v>
      </c>
      <c r="G558" s="488"/>
      <c r="H558" s="795">
        <f>22.6+0.8+0.1</f>
        <v>23.500000000000004</v>
      </c>
      <c r="I558" s="488">
        <f>H558*1490*12</f>
        <v>420180.00000000012</v>
      </c>
      <c r="J558" s="488">
        <v>105045</v>
      </c>
      <c r="K558" s="488">
        <f t="shared" ref="K558:K560" si="33">J558</f>
        <v>105045</v>
      </c>
      <c r="L558" s="488"/>
      <c r="M558" s="823"/>
      <c r="N558" s="116">
        <f>I558+I559</f>
        <v>515140.68000000011</v>
      </c>
    </row>
    <row r="559" spans="1:14" ht="20.100000000000001" customHeight="1">
      <c r="A559" s="171"/>
      <c r="B559" s="170" t="s">
        <v>733</v>
      </c>
      <c r="C559" s="489">
        <f>21.74*23.5%</f>
        <v>5.1088999999999993</v>
      </c>
      <c r="D559" s="488">
        <f>C559*1390*12</f>
        <v>85216.45199999999</v>
      </c>
      <c r="E559" s="488">
        <f>D559</f>
        <v>85216.45199999999</v>
      </c>
      <c r="F559" s="470">
        <f t="shared" si="32"/>
        <v>85216.45199999999</v>
      </c>
      <c r="G559" s="488"/>
      <c r="H559" s="795">
        <f>22.6*23.5%</f>
        <v>5.3109999999999999</v>
      </c>
      <c r="I559" s="488">
        <f>H559*1490*12</f>
        <v>94960.680000000008</v>
      </c>
      <c r="J559" s="488">
        <v>23740</v>
      </c>
      <c r="K559" s="488">
        <f t="shared" si="33"/>
        <v>23740</v>
      </c>
      <c r="L559" s="488"/>
      <c r="M559" s="823"/>
      <c r="N559" s="116">
        <f>(H558+H559)*1210*12*20/80</f>
        <v>104583.93000000002</v>
      </c>
    </row>
    <row r="560" spans="1:14" ht="20.100000000000001" customHeight="1">
      <c r="A560" s="171" t="s">
        <v>482</v>
      </c>
      <c r="B560" s="169" t="s">
        <v>732</v>
      </c>
      <c r="C560" s="492"/>
      <c r="D560" s="491">
        <f>(C555+C556+C558+C559)*20/80*1210*12</f>
        <v>144271.26449999999</v>
      </c>
      <c r="E560" s="491">
        <f>D560</f>
        <v>144271.26449999999</v>
      </c>
      <c r="F560" s="466">
        <f>E560</f>
        <v>144271.26449999999</v>
      </c>
      <c r="G560" s="491"/>
      <c r="H560" s="799"/>
      <c r="I560" s="491">
        <f>(H555+H556+H558+H559)*20/80*1210*12</f>
        <v>143170.46700000003</v>
      </c>
      <c r="J560" s="491">
        <v>64733</v>
      </c>
      <c r="K560" s="491">
        <f t="shared" si="33"/>
        <v>64733</v>
      </c>
      <c r="L560" s="491"/>
      <c r="M560" s="622"/>
      <c r="N560" s="116">
        <f>SUM(N558:N559)</f>
        <v>619724.6100000001</v>
      </c>
    </row>
    <row r="561" spans="1:13" ht="20.100000000000001" customHeight="1">
      <c r="A561" s="171" t="s">
        <v>483</v>
      </c>
      <c r="B561" s="169" t="s">
        <v>380</v>
      </c>
      <c r="C561" s="471">
        <f t="shared" ref="C561:E561" si="34">C562+C566</f>
        <v>0</v>
      </c>
      <c r="D561" s="472">
        <f t="shared" si="34"/>
        <v>143730</v>
      </c>
      <c r="E561" s="472">
        <f t="shared" si="34"/>
        <v>143730</v>
      </c>
      <c r="F561" s="466">
        <f t="shared" si="32"/>
        <v>143730</v>
      </c>
      <c r="G561" s="472"/>
      <c r="H561" s="775"/>
      <c r="I561" s="472">
        <f>I562+I566</f>
        <v>120550</v>
      </c>
      <c r="J561" s="472">
        <f>J562+J566</f>
        <v>97500</v>
      </c>
      <c r="K561" s="472">
        <f>K562+K566</f>
        <v>97500</v>
      </c>
      <c r="L561" s="472"/>
      <c r="M561" s="622"/>
    </row>
    <row r="562" spans="1:13" ht="20.100000000000001" customHeight="1">
      <c r="A562" s="171" t="s">
        <v>484</v>
      </c>
      <c r="B562" s="169" t="s">
        <v>485</v>
      </c>
      <c r="C562" s="471">
        <f t="shared" ref="C562:E562" si="35">SUM(C563:C565)</f>
        <v>0</v>
      </c>
      <c r="D562" s="472">
        <f t="shared" si="35"/>
        <v>76500</v>
      </c>
      <c r="E562" s="472">
        <f t="shared" si="35"/>
        <v>76500</v>
      </c>
      <c r="F562" s="466">
        <f>E562</f>
        <v>76500</v>
      </c>
      <c r="G562" s="472"/>
      <c r="H562" s="775"/>
      <c r="I562" s="472">
        <f>SUM(I563:I565)</f>
        <v>96500</v>
      </c>
      <c r="J562" s="472">
        <f>SUM(J563:J565)</f>
        <v>80500</v>
      </c>
      <c r="K562" s="472">
        <f>SUM(K563:K565)</f>
        <v>80500</v>
      </c>
      <c r="L562" s="472"/>
      <c r="M562" s="622"/>
    </row>
    <row r="563" spans="1:13" ht="20.100000000000001" customHeight="1">
      <c r="A563" s="173"/>
      <c r="B563" s="170" t="s">
        <v>1459</v>
      </c>
      <c r="C563" s="490"/>
      <c r="D563" s="488">
        <f>5000+4500+8*4000</f>
        <v>41500</v>
      </c>
      <c r="E563" s="488">
        <v>41500</v>
      </c>
      <c r="F563" s="470">
        <f t="shared" si="32"/>
        <v>41500</v>
      </c>
      <c r="G563" s="488"/>
      <c r="H563" s="798"/>
      <c r="I563" s="488">
        <f>6000+5500+8*5000</f>
        <v>51500</v>
      </c>
      <c r="J563" s="488">
        <f t="shared" ref="J563:K565" si="36">I563</f>
        <v>51500</v>
      </c>
      <c r="K563" s="488">
        <f t="shared" si="36"/>
        <v>51500</v>
      </c>
      <c r="L563" s="488"/>
      <c r="M563" s="622"/>
    </row>
    <row r="564" spans="1:13" ht="20.100000000000001" customHeight="1">
      <c r="A564" s="171"/>
      <c r="B564" s="170" t="s">
        <v>1460</v>
      </c>
      <c r="C564" s="490"/>
      <c r="D564" s="488">
        <f>10*300*5</f>
        <v>15000</v>
      </c>
      <c r="E564" s="488">
        <v>15000</v>
      </c>
      <c r="F564" s="824">
        <f>E564</f>
        <v>15000</v>
      </c>
      <c r="G564" s="470"/>
      <c r="H564" s="776"/>
      <c r="I564" s="470">
        <f>10*5*500</f>
        <v>25000</v>
      </c>
      <c r="J564" s="470">
        <v>9000</v>
      </c>
      <c r="K564" s="470">
        <f t="shared" si="36"/>
        <v>9000</v>
      </c>
      <c r="L564" s="550"/>
      <c r="M564" s="1165"/>
    </row>
    <row r="565" spans="1:13" ht="20.100000000000001" customHeight="1">
      <c r="A565" s="171"/>
      <c r="B565" s="170" t="s">
        <v>488</v>
      </c>
      <c r="C565" s="490"/>
      <c r="D565" s="488">
        <v>20000</v>
      </c>
      <c r="E565" s="488">
        <v>20000</v>
      </c>
      <c r="F565" s="470">
        <f>E565</f>
        <v>20000</v>
      </c>
      <c r="G565" s="488"/>
      <c r="H565" s="798"/>
      <c r="I565" s="488">
        <f>10*2000</f>
        <v>20000</v>
      </c>
      <c r="J565" s="488">
        <f t="shared" si="36"/>
        <v>20000</v>
      </c>
      <c r="K565" s="488">
        <f t="shared" si="36"/>
        <v>20000</v>
      </c>
      <c r="L565" s="758"/>
      <c r="M565" s="1166"/>
    </row>
    <row r="566" spans="1:13" ht="20.100000000000001" customHeight="1">
      <c r="A566" s="171" t="s">
        <v>489</v>
      </c>
      <c r="B566" s="169" t="s">
        <v>490</v>
      </c>
      <c r="C566" s="492"/>
      <c r="D566" s="491">
        <f>SUM(D567:D569)</f>
        <v>67230</v>
      </c>
      <c r="E566" s="491">
        <f>SUM(E567:E573)</f>
        <v>67230</v>
      </c>
      <c r="F566" s="466">
        <f t="shared" si="32"/>
        <v>67230</v>
      </c>
      <c r="G566" s="491"/>
      <c r="H566" s="799"/>
      <c r="I566" s="491">
        <f>SUM(I567:I573)</f>
        <v>24050</v>
      </c>
      <c r="J566" s="491">
        <f>SUM(J567:J573)</f>
        <v>17000</v>
      </c>
      <c r="K566" s="491">
        <f>SUM(K567:K573)</f>
        <v>17000</v>
      </c>
      <c r="L566" s="491"/>
      <c r="M566" s="646"/>
    </row>
    <row r="567" spans="1:13" ht="20.100000000000001" customHeight="1">
      <c r="A567" s="171"/>
      <c r="B567" s="170" t="s">
        <v>1009</v>
      </c>
      <c r="C567" s="490"/>
      <c r="D567" s="488">
        <v>13000</v>
      </c>
      <c r="E567" s="488">
        <v>13000</v>
      </c>
      <c r="F567" s="470">
        <f t="shared" si="32"/>
        <v>13000</v>
      </c>
      <c r="G567" s="488"/>
      <c r="H567" s="798"/>
      <c r="I567" s="488"/>
      <c r="J567" s="488"/>
      <c r="K567" s="488"/>
      <c r="L567" s="488"/>
      <c r="M567" s="358"/>
    </row>
    <row r="568" spans="1:13" ht="20.100000000000001" customHeight="1">
      <c r="A568" s="171"/>
      <c r="B568" s="170" t="s">
        <v>1010</v>
      </c>
      <c r="C568" s="490"/>
      <c r="D568" s="488">
        <v>33990</v>
      </c>
      <c r="E568" s="488">
        <v>33990</v>
      </c>
      <c r="F568" s="470">
        <f t="shared" si="32"/>
        <v>33990</v>
      </c>
      <c r="G568" s="488"/>
      <c r="H568" s="798"/>
      <c r="I568" s="488"/>
      <c r="J568" s="488"/>
      <c r="K568" s="488"/>
      <c r="L568" s="488"/>
      <c r="M568" s="761"/>
    </row>
    <row r="569" spans="1:13" ht="20.100000000000001" customHeight="1">
      <c r="A569" s="171"/>
      <c r="B569" s="170" t="s">
        <v>1011</v>
      </c>
      <c r="C569" s="490"/>
      <c r="D569" s="488">
        <v>20240</v>
      </c>
      <c r="E569" s="488">
        <f>D569</f>
        <v>20240</v>
      </c>
      <c r="F569" s="470">
        <f t="shared" si="32"/>
        <v>20240</v>
      </c>
      <c r="G569" s="488"/>
      <c r="H569" s="798"/>
      <c r="I569" s="488"/>
      <c r="J569" s="488"/>
      <c r="K569" s="488"/>
      <c r="L569" s="488"/>
      <c r="M569" s="761"/>
    </row>
    <row r="570" spans="1:13" ht="20.100000000000001" customHeight="1">
      <c r="A570" s="171"/>
      <c r="B570" s="170" t="s">
        <v>1461</v>
      </c>
      <c r="C570" s="490"/>
      <c r="D570" s="488"/>
      <c r="E570" s="488"/>
      <c r="F570" s="470"/>
      <c r="G570" s="488"/>
      <c r="H570" s="798"/>
      <c r="I570" s="488">
        <f>500*12</f>
        <v>6000</v>
      </c>
      <c r="J570" s="488">
        <f>I570</f>
        <v>6000</v>
      </c>
      <c r="K570" s="488">
        <f>J570</f>
        <v>6000</v>
      </c>
      <c r="L570" s="488"/>
      <c r="M570" s="761"/>
    </row>
    <row r="571" spans="1:13" ht="20.100000000000001" customHeight="1">
      <c r="A571" s="171"/>
      <c r="B571" s="170" t="s">
        <v>1462</v>
      </c>
      <c r="C571" s="490"/>
      <c r="D571" s="488"/>
      <c r="E571" s="488"/>
      <c r="F571" s="470"/>
      <c r="G571" s="488"/>
      <c r="H571" s="798"/>
      <c r="I571" s="488">
        <v>11000</v>
      </c>
      <c r="J571" s="488">
        <f>I571</f>
        <v>11000</v>
      </c>
      <c r="K571" s="488">
        <f>J571</f>
        <v>11000</v>
      </c>
      <c r="L571" s="488"/>
      <c r="M571" s="761"/>
    </row>
    <row r="572" spans="1:13" ht="20.100000000000001" customHeight="1">
      <c r="A572" s="171"/>
      <c r="B572" s="170" t="s">
        <v>1463</v>
      </c>
      <c r="C572" s="490"/>
      <c r="D572" s="488"/>
      <c r="E572" s="488"/>
      <c r="F572" s="470"/>
      <c r="G572" s="488"/>
      <c r="H572" s="798"/>
      <c r="I572" s="488">
        <v>2050</v>
      </c>
      <c r="J572" s="488"/>
      <c r="K572" s="488"/>
      <c r="L572" s="488"/>
      <c r="M572" s="761" t="s">
        <v>1464</v>
      </c>
    </row>
    <row r="573" spans="1:13" ht="20.100000000000001" customHeight="1">
      <c r="A573" s="171"/>
      <c r="B573" s="170" t="s">
        <v>1465</v>
      </c>
      <c r="C573" s="490"/>
      <c r="D573" s="488"/>
      <c r="E573" s="488"/>
      <c r="F573" s="470"/>
      <c r="G573" s="488"/>
      <c r="H573" s="798"/>
      <c r="I573" s="488">
        <v>5000</v>
      </c>
      <c r="J573" s="488"/>
      <c r="K573" s="488"/>
      <c r="L573" s="488"/>
      <c r="M573" s="761" t="s">
        <v>1464</v>
      </c>
    </row>
    <row r="574" spans="1:13" ht="20.100000000000001" customHeight="1">
      <c r="A574" s="176">
        <v>10</v>
      </c>
      <c r="B574" s="785" t="s">
        <v>287</v>
      </c>
      <c r="C574" s="471"/>
      <c r="D574" s="472">
        <f>(D576+D583+D584)</f>
        <v>479084.70599999995</v>
      </c>
      <c r="E574" s="472">
        <f>(E576+E583+E584)</f>
        <v>459084.70599999995</v>
      </c>
      <c r="F574" s="466">
        <f t="shared" si="32"/>
        <v>459084.70599999995</v>
      </c>
      <c r="G574" s="472"/>
      <c r="H574" s="775"/>
      <c r="I574" s="472"/>
      <c r="J574" s="472"/>
      <c r="K574" s="472"/>
      <c r="L574" s="472"/>
      <c r="M574" s="622"/>
    </row>
    <row r="575" spans="1:13" ht="20.100000000000001" customHeight="1">
      <c r="A575" s="171"/>
      <c r="B575" s="169" t="s">
        <v>1012</v>
      </c>
      <c r="C575" s="492"/>
      <c r="D575" s="491">
        <v>200000</v>
      </c>
      <c r="E575" s="491">
        <v>200000</v>
      </c>
      <c r="F575" s="466">
        <f>E575</f>
        <v>200000</v>
      </c>
      <c r="G575" s="491"/>
      <c r="H575" s="799"/>
      <c r="I575" s="491"/>
      <c r="J575" s="491"/>
      <c r="K575" s="491"/>
      <c r="L575" s="491"/>
      <c r="M575" s="622"/>
    </row>
    <row r="576" spans="1:13" ht="20.100000000000001" customHeight="1">
      <c r="A576" s="171" t="s">
        <v>491</v>
      </c>
      <c r="B576" s="169" t="s">
        <v>377</v>
      </c>
      <c r="C576" s="492"/>
      <c r="D576" s="491">
        <f>SUM(D578:D582)</f>
        <v>308456.56799999997</v>
      </c>
      <c r="E576" s="491">
        <f>SUM(E578:E582)</f>
        <v>308456.56799999997</v>
      </c>
      <c r="F576" s="466">
        <f>E576</f>
        <v>308456.56799999997</v>
      </c>
      <c r="G576" s="491"/>
      <c r="H576" s="799"/>
      <c r="I576" s="491"/>
      <c r="J576" s="491"/>
      <c r="K576" s="491"/>
      <c r="L576" s="491"/>
      <c r="M576" s="622"/>
    </row>
    <row r="577" spans="1:13" ht="20.100000000000001" customHeight="1">
      <c r="A577" s="171"/>
      <c r="B577" s="169" t="s">
        <v>492</v>
      </c>
      <c r="C577" s="490"/>
      <c r="D577" s="488"/>
      <c r="E577" s="488"/>
      <c r="F577" s="470">
        <f t="shared" si="32"/>
        <v>0</v>
      </c>
      <c r="G577" s="488"/>
      <c r="H577" s="798"/>
      <c r="I577" s="488"/>
      <c r="J577" s="488"/>
      <c r="K577" s="488"/>
      <c r="L577" s="488"/>
      <c r="M577" s="622"/>
    </row>
    <row r="578" spans="1:13" ht="20.100000000000001" customHeight="1">
      <c r="A578" s="171"/>
      <c r="B578" s="170" t="s">
        <v>493</v>
      </c>
      <c r="C578" s="489">
        <f>3.66+0.3+0.1</f>
        <v>4.0599999999999996</v>
      </c>
      <c r="D578" s="488">
        <f>C578*1390*12</f>
        <v>67720.799999999988</v>
      </c>
      <c r="E578" s="488">
        <f>D578</f>
        <v>67720.799999999988</v>
      </c>
      <c r="F578" s="470">
        <f t="shared" si="32"/>
        <v>67720.799999999988</v>
      </c>
      <c r="G578" s="488"/>
      <c r="H578" s="798"/>
      <c r="I578" s="488"/>
      <c r="J578" s="488"/>
      <c r="K578" s="488"/>
      <c r="L578" s="488"/>
      <c r="M578" s="622"/>
    </row>
    <row r="579" spans="1:13" ht="20.100000000000001" customHeight="1">
      <c r="A579" s="171"/>
      <c r="B579" s="170" t="s">
        <v>733</v>
      </c>
      <c r="C579" s="489">
        <f>(3.66+0.3)*22.5%</f>
        <v>0.89100000000000001</v>
      </c>
      <c r="D579" s="488">
        <f>C579*1390*12</f>
        <v>14861.880000000001</v>
      </c>
      <c r="E579" s="488">
        <f>D579</f>
        <v>14861.880000000001</v>
      </c>
      <c r="F579" s="470">
        <f t="shared" si="32"/>
        <v>14861.880000000001</v>
      </c>
      <c r="G579" s="488"/>
      <c r="H579" s="798"/>
      <c r="I579" s="488"/>
      <c r="J579" s="488"/>
      <c r="K579" s="488"/>
      <c r="L579" s="488"/>
      <c r="M579" s="646"/>
    </row>
    <row r="580" spans="1:13" ht="20.100000000000001" customHeight="1">
      <c r="A580" s="171"/>
      <c r="B580" s="169" t="s">
        <v>480</v>
      </c>
      <c r="C580" s="492"/>
      <c r="D580" s="491"/>
      <c r="E580" s="491"/>
      <c r="F580" s="470">
        <f t="shared" si="32"/>
        <v>0</v>
      </c>
      <c r="G580" s="491"/>
      <c r="H580" s="799"/>
      <c r="I580" s="491"/>
      <c r="J580" s="491"/>
      <c r="K580" s="491"/>
      <c r="L580" s="491"/>
      <c r="M580" s="622"/>
    </row>
    <row r="581" spans="1:13" ht="20.100000000000001" customHeight="1">
      <c r="A581" s="171"/>
      <c r="B581" s="170" t="s">
        <v>100</v>
      </c>
      <c r="C581" s="505">
        <f>10.56+0.4+0.1</f>
        <v>11.06</v>
      </c>
      <c r="D581" s="488">
        <f>C581*1390*12</f>
        <v>184480.80000000002</v>
      </c>
      <c r="E581" s="488">
        <f>D581</f>
        <v>184480.80000000002</v>
      </c>
      <c r="F581" s="470">
        <f t="shared" si="32"/>
        <v>184480.80000000002</v>
      </c>
      <c r="G581" s="488"/>
      <c r="H581" s="798"/>
      <c r="I581" s="488"/>
      <c r="J581" s="488"/>
      <c r="K581" s="488"/>
      <c r="L581" s="488"/>
      <c r="M581" s="622"/>
    </row>
    <row r="582" spans="1:13" ht="20.100000000000001" customHeight="1">
      <c r="A582" s="171"/>
      <c r="B582" s="170" t="s">
        <v>733</v>
      </c>
      <c r="C582" s="505">
        <f>10.56*23.5%</f>
        <v>2.4815999999999998</v>
      </c>
      <c r="D582" s="488">
        <f>C582*1390*12</f>
        <v>41393.087999999996</v>
      </c>
      <c r="E582" s="488">
        <f>D582</f>
        <v>41393.087999999996</v>
      </c>
      <c r="F582" s="470">
        <f t="shared" si="32"/>
        <v>41393.087999999996</v>
      </c>
      <c r="G582" s="488"/>
      <c r="H582" s="798"/>
      <c r="I582" s="488"/>
      <c r="J582" s="488"/>
      <c r="K582" s="488"/>
      <c r="L582" s="488"/>
      <c r="M582" s="622"/>
    </row>
    <row r="583" spans="1:13" ht="20.100000000000001" customHeight="1">
      <c r="A583" s="171" t="s">
        <v>494</v>
      </c>
      <c r="B583" s="169" t="s">
        <v>732</v>
      </c>
      <c r="C583" s="490"/>
      <c r="D583" s="491">
        <f>(C578+C579+C581+C582)*1210*20/80*12</f>
        <v>67128.137999999992</v>
      </c>
      <c r="E583" s="491">
        <f>D583</f>
        <v>67128.137999999992</v>
      </c>
      <c r="F583" s="466">
        <f t="shared" si="32"/>
        <v>67128.137999999992</v>
      </c>
      <c r="G583" s="491"/>
      <c r="H583" s="799"/>
      <c r="I583" s="491"/>
      <c r="J583" s="491"/>
      <c r="K583" s="491"/>
      <c r="L583" s="491"/>
      <c r="M583" s="622"/>
    </row>
    <row r="584" spans="1:13" ht="20.100000000000001" customHeight="1">
      <c r="A584" s="171" t="s">
        <v>495</v>
      </c>
      <c r="B584" s="169" t="s">
        <v>380</v>
      </c>
      <c r="C584" s="471">
        <f t="shared" ref="C584:E584" si="37">C585+C589</f>
        <v>0</v>
      </c>
      <c r="D584" s="472">
        <f t="shared" si="37"/>
        <v>103500</v>
      </c>
      <c r="E584" s="472">
        <f t="shared" si="37"/>
        <v>83500</v>
      </c>
      <c r="F584" s="466">
        <f t="shared" si="32"/>
        <v>83500</v>
      </c>
      <c r="G584" s="472"/>
      <c r="H584" s="775"/>
      <c r="I584" s="472"/>
      <c r="J584" s="472"/>
      <c r="K584" s="472"/>
      <c r="L584" s="472"/>
      <c r="M584" s="622"/>
    </row>
    <row r="585" spans="1:13" ht="20.100000000000001" customHeight="1">
      <c r="A585" s="173"/>
      <c r="B585" s="169" t="s">
        <v>496</v>
      </c>
      <c r="C585" s="471">
        <f t="shared" ref="C585:E585" si="38">SUM(C586:C588)</f>
        <v>0</v>
      </c>
      <c r="D585" s="472">
        <f t="shared" si="38"/>
        <v>38500</v>
      </c>
      <c r="E585" s="472">
        <f t="shared" si="38"/>
        <v>38500</v>
      </c>
      <c r="F585" s="466">
        <f t="shared" si="32"/>
        <v>38500</v>
      </c>
      <c r="G585" s="472"/>
      <c r="H585" s="775"/>
      <c r="I585" s="472"/>
      <c r="J585" s="472"/>
      <c r="K585" s="472"/>
      <c r="L585" s="472"/>
      <c r="M585" s="622"/>
    </row>
    <row r="586" spans="1:13" ht="20.100000000000001" customHeight="1">
      <c r="A586" s="171"/>
      <c r="B586" s="170" t="s">
        <v>497</v>
      </c>
      <c r="C586" s="490"/>
      <c r="D586" s="488">
        <v>21000</v>
      </c>
      <c r="E586" s="488">
        <v>21000</v>
      </c>
      <c r="F586" s="470">
        <f t="shared" si="32"/>
        <v>21000</v>
      </c>
      <c r="G586" s="488"/>
      <c r="H586" s="798"/>
      <c r="I586" s="488"/>
      <c r="J586" s="488"/>
      <c r="K586" s="488"/>
      <c r="L586" s="488"/>
      <c r="M586" s="622"/>
    </row>
    <row r="587" spans="1:13" ht="20.100000000000001" customHeight="1">
      <c r="A587" s="171"/>
      <c r="B587" s="170" t="s">
        <v>520</v>
      </c>
      <c r="C587" s="513"/>
      <c r="D587" s="488">
        <f>5*300*5</f>
        <v>7500</v>
      </c>
      <c r="E587" s="488">
        <f>D587</f>
        <v>7500</v>
      </c>
      <c r="F587" s="470"/>
      <c r="G587" s="488"/>
      <c r="H587" s="798"/>
      <c r="I587" s="488"/>
      <c r="J587" s="488"/>
      <c r="K587" s="757"/>
      <c r="L587" s="757"/>
      <c r="M587" s="1165"/>
    </row>
    <row r="588" spans="1:13" ht="20.100000000000001" customHeight="1">
      <c r="A588" s="171"/>
      <c r="B588" s="170" t="s">
        <v>498</v>
      </c>
      <c r="C588" s="513"/>
      <c r="D588" s="488">
        <v>10000</v>
      </c>
      <c r="E588" s="488">
        <f>D588</f>
        <v>10000</v>
      </c>
      <c r="F588" s="470"/>
      <c r="G588" s="488"/>
      <c r="H588" s="798"/>
      <c r="I588" s="488"/>
      <c r="J588" s="488"/>
      <c r="K588" s="758"/>
      <c r="L588" s="758"/>
      <c r="M588" s="1166"/>
    </row>
    <row r="589" spans="1:13" ht="20.100000000000001" customHeight="1">
      <c r="A589" s="171"/>
      <c r="B589" s="169" t="s">
        <v>499</v>
      </c>
      <c r="C589" s="492"/>
      <c r="D589" s="464">
        <f>SUM(D590:D591)</f>
        <v>65000</v>
      </c>
      <c r="E589" s="464">
        <f>SUM(E590:E591)</f>
        <v>45000</v>
      </c>
      <c r="F589" s="466">
        <f t="shared" si="32"/>
        <v>45000</v>
      </c>
      <c r="G589" s="464"/>
      <c r="H589" s="799"/>
      <c r="I589" s="464"/>
      <c r="J589" s="464"/>
      <c r="K589" s="464"/>
      <c r="L589" s="464"/>
      <c r="M589" s="622"/>
    </row>
    <row r="590" spans="1:13" ht="20.100000000000001" customHeight="1">
      <c r="A590" s="171"/>
      <c r="B590" s="170" t="s">
        <v>762</v>
      </c>
      <c r="C590" s="490"/>
      <c r="D590" s="488">
        <v>15000</v>
      </c>
      <c r="E590" s="488">
        <v>15000</v>
      </c>
      <c r="F590" s="470">
        <f t="shared" si="32"/>
        <v>15000</v>
      </c>
      <c r="G590" s="488"/>
      <c r="H590" s="798"/>
      <c r="I590" s="488"/>
      <c r="J590" s="488"/>
      <c r="K590" s="488"/>
      <c r="L590" s="488"/>
      <c r="M590" s="622"/>
    </row>
    <row r="591" spans="1:13" ht="20.100000000000001" customHeight="1">
      <c r="A591" s="171"/>
      <c r="B591" s="170" t="s">
        <v>1013</v>
      </c>
      <c r="C591" s="490"/>
      <c r="D591" s="488">
        <v>50000</v>
      </c>
      <c r="E591" s="488">
        <v>30000</v>
      </c>
      <c r="F591" s="470">
        <f t="shared" si="32"/>
        <v>30000</v>
      </c>
      <c r="G591" s="488"/>
      <c r="H591" s="798"/>
      <c r="I591" s="488"/>
      <c r="J591" s="488"/>
      <c r="K591" s="488"/>
      <c r="L591" s="488"/>
      <c r="M591" s="634" t="s">
        <v>1014</v>
      </c>
    </row>
    <row r="592" spans="1:13" ht="20.100000000000001" customHeight="1">
      <c r="A592" s="171">
        <v>11</v>
      </c>
      <c r="B592" s="169" t="s">
        <v>196</v>
      </c>
      <c r="C592" s="492"/>
      <c r="D592" s="491">
        <v>50000</v>
      </c>
      <c r="E592" s="491">
        <v>50000</v>
      </c>
      <c r="F592" s="466">
        <f t="shared" si="32"/>
        <v>50000</v>
      </c>
      <c r="G592" s="491"/>
      <c r="H592" s="799"/>
      <c r="I592" s="491">
        <v>100000</v>
      </c>
      <c r="J592" s="491">
        <v>100000</v>
      </c>
      <c r="K592" s="491">
        <v>100000</v>
      </c>
      <c r="L592" s="491"/>
      <c r="M592" s="622"/>
    </row>
    <row r="593" spans="1:14" ht="20.100000000000001" customHeight="1">
      <c r="A593" s="171">
        <v>12</v>
      </c>
      <c r="B593" s="169" t="s">
        <v>677</v>
      </c>
      <c r="C593" s="492"/>
      <c r="D593" s="491">
        <v>60000</v>
      </c>
      <c r="E593" s="491">
        <v>60000</v>
      </c>
      <c r="F593" s="466">
        <f t="shared" si="32"/>
        <v>60000</v>
      </c>
      <c r="G593" s="491"/>
      <c r="H593" s="799"/>
      <c r="I593" s="491">
        <v>100000</v>
      </c>
      <c r="J593" s="491">
        <v>100000</v>
      </c>
      <c r="K593" s="491">
        <v>100000</v>
      </c>
      <c r="L593" s="491"/>
      <c r="M593" s="622"/>
    </row>
    <row r="594" spans="1:14" ht="35.25" customHeight="1">
      <c r="A594" s="171">
        <v>13</v>
      </c>
      <c r="B594" s="169" t="s">
        <v>1635</v>
      </c>
      <c r="C594" s="492"/>
      <c r="D594" s="491"/>
      <c r="E594" s="491"/>
      <c r="F594" s="466"/>
      <c r="G594" s="491"/>
      <c r="H594" s="799"/>
      <c r="I594" s="491">
        <v>100000</v>
      </c>
      <c r="J594" s="491">
        <v>250000</v>
      </c>
      <c r="K594" s="491">
        <v>250000</v>
      </c>
      <c r="L594" s="491"/>
      <c r="M594" s="761" t="s">
        <v>1466</v>
      </c>
    </row>
    <row r="595" spans="1:14" ht="20.100000000000001" customHeight="1">
      <c r="A595" s="171" t="s">
        <v>565</v>
      </c>
      <c r="B595" s="169" t="s">
        <v>580</v>
      </c>
      <c r="C595" s="492"/>
      <c r="D595" s="464">
        <f>D596+D597</f>
        <v>13500000</v>
      </c>
      <c r="E595" s="464">
        <f>E596+E597</f>
        <v>13500000</v>
      </c>
      <c r="F595" s="466">
        <f>E595</f>
        <v>13500000</v>
      </c>
      <c r="G595" s="464"/>
      <c r="H595" s="799"/>
      <c r="I595" s="464">
        <f>I596+I597+I598</f>
        <v>15500000</v>
      </c>
      <c r="J595" s="464">
        <f>J596+J597+J598</f>
        <v>19000000</v>
      </c>
      <c r="K595" s="464">
        <f>K596+K597+K598</f>
        <v>19000000</v>
      </c>
      <c r="L595" s="464"/>
      <c r="M595" s="622"/>
      <c r="N595" s="119" t="e">
        <f>#REF!-#REF!-#REF!</f>
        <v>#REF!</v>
      </c>
    </row>
    <row r="596" spans="1:14" ht="20.100000000000001" customHeight="1">
      <c r="A596" s="171"/>
      <c r="B596" s="170" t="s">
        <v>1467</v>
      </c>
      <c r="C596" s="541"/>
      <c r="D596" s="825">
        <v>12500000</v>
      </c>
      <c r="E596" s="811">
        <v>12500000</v>
      </c>
      <c r="F596" s="801">
        <f t="shared" si="32"/>
        <v>12500000</v>
      </c>
      <c r="G596" s="811"/>
      <c r="H596" s="802"/>
      <c r="I596" s="811">
        <v>13500000</v>
      </c>
      <c r="J596" s="811">
        <v>13000000</v>
      </c>
      <c r="K596" s="811">
        <v>13000000</v>
      </c>
      <c r="L596" s="811"/>
      <c r="M596" s="110" t="s">
        <v>1468</v>
      </c>
    </row>
    <row r="597" spans="1:14" ht="20.100000000000001" customHeight="1">
      <c r="A597" s="171"/>
      <c r="B597" s="170" t="s">
        <v>1226</v>
      </c>
      <c r="C597" s="541"/>
      <c r="D597" s="825">
        <v>1000000</v>
      </c>
      <c r="E597" s="811">
        <v>1000000</v>
      </c>
      <c r="F597" s="801">
        <f t="shared" si="32"/>
        <v>1000000</v>
      </c>
      <c r="G597" s="811"/>
      <c r="H597" s="802"/>
      <c r="I597" s="811"/>
      <c r="J597" s="811">
        <v>1000000</v>
      </c>
      <c r="K597" s="811">
        <v>1000000</v>
      </c>
      <c r="L597" s="811"/>
      <c r="M597" s="826"/>
    </row>
    <row r="598" spans="1:14" ht="20.100000000000001" customHeight="1">
      <c r="A598" s="171"/>
      <c r="B598" s="170" t="s">
        <v>1469</v>
      </c>
      <c r="C598" s="541"/>
      <c r="D598" s="825"/>
      <c r="E598" s="811"/>
      <c r="F598" s="801"/>
      <c r="G598" s="811"/>
      <c r="H598" s="802"/>
      <c r="I598" s="811">
        <v>2000000</v>
      </c>
      <c r="J598" s="811">
        <v>5000000</v>
      </c>
      <c r="K598" s="811">
        <v>5000000</v>
      </c>
      <c r="L598" s="811"/>
      <c r="M598" s="826"/>
    </row>
    <row r="599" spans="1:14" ht="20.100000000000001" customHeight="1">
      <c r="A599" s="159" t="s">
        <v>562</v>
      </c>
      <c r="B599" s="169" t="s">
        <v>288</v>
      </c>
      <c r="C599" s="471"/>
      <c r="D599" s="472">
        <f>(D600+D622)</f>
        <v>113522359.25720499</v>
      </c>
      <c r="E599" s="472">
        <f>(E600+E622)</f>
        <v>112626099.25720499</v>
      </c>
      <c r="F599" s="472">
        <f>(F600+F622)</f>
        <v>111626099.25720499</v>
      </c>
      <c r="G599" s="472">
        <f>(G600+G622)</f>
        <v>1000000</v>
      </c>
      <c r="H599" s="775"/>
      <c r="I599" s="472">
        <f>(I600+I622)</f>
        <v>83827932.202024996</v>
      </c>
      <c r="J599" s="472">
        <f>(J600+J622)</f>
        <v>122733343.202025</v>
      </c>
      <c r="K599" s="472">
        <f>(K600+K622)</f>
        <v>122733343.202025</v>
      </c>
      <c r="L599" s="472"/>
      <c r="M599" s="622"/>
      <c r="N599" s="119" t="e">
        <f>#REF!-#REF!-#REF!</f>
        <v>#REF!</v>
      </c>
    </row>
    <row r="600" spans="1:14" ht="20.100000000000001" customHeight="1">
      <c r="A600" s="827">
        <v>1</v>
      </c>
      <c r="B600" s="828" t="s">
        <v>309</v>
      </c>
      <c r="C600" s="829"/>
      <c r="D600" s="830">
        <f>D601</f>
        <v>1806359.2572050001</v>
      </c>
      <c r="E600" s="831">
        <f>E601</f>
        <v>910099.25720500003</v>
      </c>
      <c r="F600" s="832">
        <f t="shared" si="32"/>
        <v>910099.25720500003</v>
      </c>
      <c r="G600" s="831"/>
      <c r="H600" s="833"/>
      <c r="I600" s="831">
        <f>I601</f>
        <v>1037253.202025</v>
      </c>
      <c r="J600" s="831">
        <f>J601</f>
        <v>945343.20202500001</v>
      </c>
      <c r="K600" s="831">
        <f>K601</f>
        <v>945343.20202500001</v>
      </c>
      <c r="L600" s="831"/>
      <c r="M600" s="803"/>
      <c r="N600" s="804"/>
    </row>
    <row r="601" spans="1:14" ht="20.100000000000001" customHeight="1">
      <c r="A601" s="171"/>
      <c r="B601" s="169" t="s">
        <v>11</v>
      </c>
      <c r="C601" s="471"/>
      <c r="D601" s="472">
        <f>D602+D605+D606</f>
        <v>1806359.2572050001</v>
      </c>
      <c r="E601" s="472">
        <f>E602+E605+E606</f>
        <v>910099.25720500003</v>
      </c>
      <c r="F601" s="466">
        <f t="shared" si="32"/>
        <v>910099.25720500003</v>
      </c>
      <c r="G601" s="472"/>
      <c r="H601" s="775"/>
      <c r="I601" s="472">
        <f>I602+I605+I606</f>
        <v>1037253.202025</v>
      </c>
      <c r="J601" s="472">
        <f>J602+J605+J606</f>
        <v>945343.20202500001</v>
      </c>
      <c r="K601" s="472">
        <f>K602+K605+K606</f>
        <v>945343.20202500001</v>
      </c>
      <c r="L601" s="472"/>
      <c r="M601" s="622"/>
    </row>
    <row r="602" spans="1:14" ht="20.100000000000001" customHeight="1">
      <c r="A602" s="171"/>
      <c r="B602" s="169" t="s">
        <v>377</v>
      </c>
      <c r="C602" s="471"/>
      <c r="D602" s="472">
        <f>(D603+D604)</f>
        <v>552492.56573999999</v>
      </c>
      <c r="E602" s="472">
        <f>(E603+E604)</f>
        <v>552492.56573999999</v>
      </c>
      <c r="F602" s="466">
        <f t="shared" si="32"/>
        <v>552492.56573999999</v>
      </c>
      <c r="G602" s="472"/>
      <c r="H602" s="775"/>
      <c r="I602" s="472">
        <f>(I603+I604)</f>
        <v>596808.96569999994</v>
      </c>
      <c r="J602" s="472">
        <f>(J603+J604)</f>
        <v>596808.96569999994</v>
      </c>
      <c r="K602" s="472">
        <f>(K603+K604)</f>
        <v>596808.96569999994</v>
      </c>
      <c r="L602" s="472"/>
      <c r="M602" s="622"/>
    </row>
    <row r="603" spans="1:14" ht="20.100000000000001" customHeight="1">
      <c r="A603" s="171"/>
      <c r="B603" s="170" t="s">
        <v>500</v>
      </c>
      <c r="C603" s="505">
        <f>20.72+0.3+1.7153+0.5+4.116+0.3+0.2</f>
        <v>27.851299999999998</v>
      </c>
      <c r="D603" s="488">
        <f>C603*1390*12</f>
        <v>464559.68400000001</v>
      </c>
      <c r="E603" s="488">
        <f>D603</f>
        <v>464559.68400000001</v>
      </c>
      <c r="F603" s="470">
        <f t="shared" si="32"/>
        <v>464559.68400000001</v>
      </c>
      <c r="G603" s="488"/>
      <c r="H603" s="795">
        <f>20.72+0.3+1.9165+0.5+0.2+4.116+0.3</f>
        <v>28.052499999999998</v>
      </c>
      <c r="I603" s="488">
        <f>H603*1490*12</f>
        <v>501578.69999999995</v>
      </c>
      <c r="J603" s="488">
        <f t="shared" ref="J603:K605" si="39">I603</f>
        <v>501578.69999999995</v>
      </c>
      <c r="K603" s="488">
        <f t="shared" si="39"/>
        <v>501578.69999999995</v>
      </c>
      <c r="L603" s="488"/>
      <c r="M603" s="622"/>
    </row>
    <row r="604" spans="1:14" ht="20.100000000000001" customHeight="1">
      <c r="A604" s="171"/>
      <c r="B604" s="170" t="s">
        <v>175</v>
      </c>
      <c r="C604" s="505">
        <f>(20.72+0.3+1.7153)*23.5%-(6.1+0.3+0.704)*1%</f>
        <v>5.2717554999999994</v>
      </c>
      <c r="D604" s="488">
        <f>C604*1390*12</f>
        <v>87932.881739999983</v>
      </c>
      <c r="E604" s="488">
        <f>D604</f>
        <v>87932.881739999983</v>
      </c>
      <c r="F604" s="470">
        <f t="shared" si="32"/>
        <v>87932.881739999983</v>
      </c>
      <c r="G604" s="488"/>
      <c r="H604" s="795">
        <f>(20.72+0.3+1.9165)*23.5%-(6.1+0.3)*1%</f>
        <v>5.3260774999999994</v>
      </c>
      <c r="I604" s="488">
        <f>H604*1490*12</f>
        <v>95230.265699999989</v>
      </c>
      <c r="J604" s="488">
        <f t="shared" si="39"/>
        <v>95230.265699999989</v>
      </c>
      <c r="K604" s="488">
        <f t="shared" si="39"/>
        <v>95230.265699999989</v>
      </c>
      <c r="L604" s="488"/>
      <c r="M604" s="622"/>
    </row>
    <row r="605" spans="1:14" ht="20.100000000000001" customHeight="1">
      <c r="A605" s="171"/>
      <c r="B605" s="169" t="s">
        <v>732</v>
      </c>
      <c r="C605" s="492"/>
      <c r="D605" s="491">
        <f>(C603+C604)*1210*20/80*12</f>
        <v>120236.691465</v>
      </c>
      <c r="E605" s="491">
        <f>D605</f>
        <v>120236.691465</v>
      </c>
      <c r="F605" s="466">
        <f>E605</f>
        <v>120236.691465</v>
      </c>
      <c r="G605" s="491"/>
      <c r="H605" s="799"/>
      <c r="I605" s="491">
        <f>(H603+H604)*1210*20/80*12</f>
        <v>121164.23632500001</v>
      </c>
      <c r="J605" s="491">
        <f t="shared" si="39"/>
        <v>121164.23632500001</v>
      </c>
      <c r="K605" s="491">
        <f t="shared" si="39"/>
        <v>121164.23632500001</v>
      </c>
      <c r="L605" s="491"/>
      <c r="M605" s="622"/>
    </row>
    <row r="606" spans="1:14" ht="20.100000000000001" customHeight="1">
      <c r="A606" s="173"/>
      <c r="B606" s="169" t="s">
        <v>380</v>
      </c>
      <c r="C606" s="471"/>
      <c r="D606" s="472">
        <f>SUM(D607:D621)</f>
        <v>1133630</v>
      </c>
      <c r="E606" s="472">
        <f>SUM(E607:E621)</f>
        <v>237370</v>
      </c>
      <c r="F606" s="466">
        <f t="shared" si="32"/>
        <v>237370</v>
      </c>
      <c r="G606" s="472"/>
      <c r="H606" s="775"/>
      <c r="I606" s="472">
        <f>SUM(I607:I621)</f>
        <v>319280</v>
      </c>
      <c r="J606" s="472">
        <f>SUM(J607:J621)</f>
        <v>227370</v>
      </c>
      <c r="K606" s="472">
        <f>SUM(K607:K621)</f>
        <v>227370</v>
      </c>
      <c r="L606" s="472"/>
      <c r="M606" s="622"/>
    </row>
    <row r="607" spans="1:14" ht="20.100000000000001" customHeight="1">
      <c r="A607" s="346"/>
      <c r="B607" s="170" t="s">
        <v>1470</v>
      </c>
      <c r="C607" s="490"/>
      <c r="D607" s="488">
        <v>21000</v>
      </c>
      <c r="E607" s="488">
        <v>21000</v>
      </c>
      <c r="F607" s="470">
        <f t="shared" si="32"/>
        <v>21000</v>
      </c>
      <c r="G607" s="488"/>
      <c r="H607" s="798"/>
      <c r="I607" s="488">
        <f>6000+4*5000</f>
        <v>26000</v>
      </c>
      <c r="J607" s="488">
        <f t="shared" ref="J607:K611" si="40">I607</f>
        <v>26000</v>
      </c>
      <c r="K607" s="488">
        <f t="shared" si="40"/>
        <v>26000</v>
      </c>
      <c r="L607" s="488"/>
      <c r="M607" s="622"/>
    </row>
    <row r="608" spans="1:14" ht="20.100000000000001" customHeight="1">
      <c r="A608" s="171"/>
      <c r="B608" s="170" t="s">
        <v>65</v>
      </c>
      <c r="C608" s="490"/>
      <c r="D608" s="488">
        <v>2500</v>
      </c>
      <c r="E608" s="488">
        <v>2500</v>
      </c>
      <c r="F608" s="470">
        <f t="shared" ref="F608:F671" si="41">E608</f>
        <v>2500</v>
      </c>
      <c r="G608" s="488"/>
      <c r="H608" s="798"/>
      <c r="I608" s="488">
        <v>2500</v>
      </c>
      <c r="J608" s="488">
        <f t="shared" si="40"/>
        <v>2500</v>
      </c>
      <c r="K608" s="488">
        <f t="shared" si="40"/>
        <v>2500</v>
      </c>
      <c r="L608" s="488"/>
      <c r="M608" s="622"/>
    </row>
    <row r="609" spans="1:14" ht="20.100000000000001" customHeight="1">
      <c r="A609" s="171"/>
      <c r="B609" s="170" t="s">
        <v>1407</v>
      </c>
      <c r="C609" s="490"/>
      <c r="D609" s="488">
        <v>7500</v>
      </c>
      <c r="E609" s="488">
        <v>7500</v>
      </c>
      <c r="F609" s="470">
        <f t="shared" si="41"/>
        <v>7500</v>
      </c>
      <c r="G609" s="488"/>
      <c r="H609" s="798"/>
      <c r="I609" s="488">
        <f>500*5*5</f>
        <v>12500</v>
      </c>
      <c r="J609" s="488">
        <f t="shared" si="40"/>
        <v>12500</v>
      </c>
      <c r="K609" s="488">
        <f t="shared" si="40"/>
        <v>12500</v>
      </c>
      <c r="L609" s="488"/>
      <c r="M609" s="622"/>
    </row>
    <row r="610" spans="1:14" ht="20.100000000000001" customHeight="1">
      <c r="A610" s="171"/>
      <c r="B610" s="170" t="s">
        <v>502</v>
      </c>
      <c r="C610" s="490"/>
      <c r="D610" s="488">
        <v>12000</v>
      </c>
      <c r="E610" s="488">
        <v>12000</v>
      </c>
      <c r="F610" s="470">
        <f t="shared" si="41"/>
        <v>12000</v>
      </c>
      <c r="G610" s="488"/>
      <c r="H610" s="798"/>
      <c r="I610" s="488">
        <v>12000</v>
      </c>
      <c r="J610" s="488">
        <f t="shared" si="40"/>
        <v>12000</v>
      </c>
      <c r="K610" s="488">
        <f t="shared" si="40"/>
        <v>12000</v>
      </c>
      <c r="L610" s="488"/>
      <c r="M610" s="622"/>
    </row>
    <row r="611" spans="1:14" ht="20.100000000000001" customHeight="1">
      <c r="A611" s="173"/>
      <c r="B611" s="170" t="s">
        <v>1016</v>
      </c>
      <c r="C611" s="490"/>
      <c r="D611" s="488">
        <f>12*3000</f>
        <v>36000</v>
      </c>
      <c r="E611" s="488">
        <v>36000</v>
      </c>
      <c r="F611" s="470">
        <f t="shared" si="41"/>
        <v>36000</v>
      </c>
      <c r="G611" s="488"/>
      <c r="H611" s="798"/>
      <c r="I611" s="488">
        <v>36000</v>
      </c>
      <c r="J611" s="488">
        <f t="shared" si="40"/>
        <v>36000</v>
      </c>
      <c r="K611" s="488">
        <f t="shared" si="40"/>
        <v>36000</v>
      </c>
      <c r="L611" s="488"/>
      <c r="M611" s="622"/>
    </row>
    <row r="612" spans="1:14" ht="20.100000000000001" customHeight="1">
      <c r="A612" s="171"/>
      <c r="B612" s="170" t="s">
        <v>1017</v>
      </c>
      <c r="C612" s="490"/>
      <c r="D612" s="488">
        <v>18300</v>
      </c>
      <c r="E612" s="488">
        <v>12000</v>
      </c>
      <c r="F612" s="470">
        <f t="shared" si="41"/>
        <v>12000</v>
      </c>
      <c r="G612" s="488"/>
      <c r="H612" s="798"/>
      <c r="I612" s="488">
        <v>18300</v>
      </c>
      <c r="J612" s="488">
        <v>12000</v>
      </c>
      <c r="K612" s="488">
        <v>12000</v>
      </c>
      <c r="L612" s="488"/>
      <c r="M612" s="761" t="s">
        <v>1018</v>
      </c>
    </row>
    <row r="613" spans="1:14" ht="20.100000000000001" customHeight="1">
      <c r="A613" s="173"/>
      <c r="B613" s="170" t="s">
        <v>1019</v>
      </c>
      <c r="C613" s="490"/>
      <c r="D613" s="488">
        <v>127500</v>
      </c>
      <c r="E613" s="488">
        <v>50000</v>
      </c>
      <c r="F613" s="470">
        <f t="shared" si="41"/>
        <v>50000</v>
      </c>
      <c r="G613" s="488"/>
      <c r="H613" s="798"/>
      <c r="I613" s="488">
        <v>127500</v>
      </c>
      <c r="J613" s="488">
        <v>50000</v>
      </c>
      <c r="K613" s="488">
        <v>50000</v>
      </c>
      <c r="L613" s="488"/>
      <c r="M613" s="624" t="s">
        <v>1020</v>
      </c>
    </row>
    <row r="614" spans="1:14" ht="20.100000000000001" customHeight="1">
      <c r="A614" s="173"/>
      <c r="B614" s="170" t="s">
        <v>1021</v>
      </c>
      <c r="C614" s="490"/>
      <c r="D614" s="488">
        <v>58980</v>
      </c>
      <c r="E614" s="488">
        <v>54120</v>
      </c>
      <c r="F614" s="470">
        <f t="shared" si="41"/>
        <v>54120</v>
      </c>
      <c r="G614" s="488"/>
      <c r="H614" s="798"/>
      <c r="I614" s="488">
        <v>58980</v>
      </c>
      <c r="J614" s="488">
        <v>54120</v>
      </c>
      <c r="K614" s="488">
        <v>54120</v>
      </c>
      <c r="L614" s="488"/>
      <c r="M614" s="761" t="s">
        <v>1022</v>
      </c>
    </row>
    <row r="615" spans="1:14" ht="20.100000000000001" customHeight="1">
      <c r="A615" s="173"/>
      <c r="B615" s="170" t="s">
        <v>1023</v>
      </c>
      <c r="C615" s="490"/>
      <c r="D615" s="488">
        <v>25500</v>
      </c>
      <c r="E615" s="488">
        <v>22250</v>
      </c>
      <c r="F615" s="470">
        <f t="shared" si="41"/>
        <v>22250</v>
      </c>
      <c r="G615" s="488"/>
      <c r="H615" s="798"/>
      <c r="I615" s="488">
        <v>25500</v>
      </c>
      <c r="J615" s="488">
        <v>22250</v>
      </c>
      <c r="K615" s="488">
        <v>22250</v>
      </c>
      <c r="L615" s="488"/>
      <c r="M615" s="761" t="s">
        <v>1024</v>
      </c>
    </row>
    <row r="616" spans="1:14" ht="20.100000000000001" customHeight="1">
      <c r="A616" s="173"/>
      <c r="B616" s="170"/>
      <c r="C616" s="490"/>
      <c r="D616" s="488"/>
      <c r="E616" s="488"/>
      <c r="F616" s="470">
        <f t="shared" si="41"/>
        <v>0</v>
      </c>
      <c r="G616" s="488"/>
      <c r="H616" s="798"/>
      <c r="I616" s="488"/>
      <c r="J616" s="488"/>
      <c r="K616" s="488"/>
      <c r="L616" s="488"/>
      <c r="M616" s="622"/>
    </row>
    <row r="617" spans="1:14" ht="20.100000000000001" customHeight="1">
      <c r="A617" s="173"/>
      <c r="B617" s="170" t="s">
        <v>1025</v>
      </c>
      <c r="C617" s="490"/>
      <c r="D617" s="488">
        <f>14000+25000+10000</f>
        <v>49000</v>
      </c>
      <c r="E617" s="488"/>
      <c r="F617" s="470">
        <f t="shared" si="41"/>
        <v>0</v>
      </c>
      <c r="G617" s="488"/>
      <c r="H617" s="798"/>
      <c r="I617" s="1151"/>
      <c r="J617" s="1151"/>
      <c r="K617" s="1151"/>
      <c r="L617" s="834"/>
      <c r="M617" s="1165" t="s">
        <v>1026</v>
      </c>
    </row>
    <row r="618" spans="1:14" ht="20.100000000000001" customHeight="1">
      <c r="A618" s="173"/>
      <c r="B618" s="170" t="s">
        <v>1027</v>
      </c>
      <c r="C618" s="490"/>
      <c r="D618" s="488">
        <v>634300</v>
      </c>
      <c r="E618" s="488"/>
      <c r="F618" s="470">
        <f t="shared" si="41"/>
        <v>0</v>
      </c>
      <c r="G618" s="488"/>
      <c r="H618" s="798"/>
      <c r="I618" s="1152"/>
      <c r="J618" s="1152"/>
      <c r="K618" s="1152"/>
      <c r="L618" s="835"/>
      <c r="M618" s="1166"/>
    </row>
    <row r="619" spans="1:14" ht="20.100000000000001" customHeight="1">
      <c r="A619" s="173"/>
      <c r="B619" s="170" t="s">
        <v>1028</v>
      </c>
      <c r="C619" s="490"/>
      <c r="D619" s="488">
        <v>38050</v>
      </c>
      <c r="E619" s="836">
        <v>20000</v>
      </c>
      <c r="F619" s="470">
        <f t="shared" si="41"/>
        <v>20000</v>
      </c>
      <c r="G619" s="836"/>
      <c r="H619" s="837"/>
      <c r="I619" s="836"/>
      <c r="J619" s="836"/>
      <c r="K619" s="836"/>
      <c r="L619" s="836"/>
      <c r="M619" s="648" t="s">
        <v>1029</v>
      </c>
    </row>
    <row r="620" spans="1:14" ht="20.100000000000001" customHeight="1">
      <c r="A620" s="173"/>
      <c r="B620" s="170" t="s">
        <v>1030</v>
      </c>
      <c r="C620" s="490"/>
      <c r="D620" s="488">
        <v>21000</v>
      </c>
      <c r="E620" s="488"/>
      <c r="F620" s="470">
        <f t="shared" si="41"/>
        <v>0</v>
      </c>
      <c r="G620" s="488"/>
      <c r="H620" s="798"/>
      <c r="I620" s="488"/>
      <c r="J620" s="488"/>
      <c r="K620" s="488"/>
      <c r="L620" s="488"/>
      <c r="M620" s="761" t="s">
        <v>1031</v>
      </c>
    </row>
    <row r="621" spans="1:14" ht="20.100000000000001" customHeight="1">
      <c r="A621" s="173"/>
      <c r="B621" s="170" t="s">
        <v>1032</v>
      </c>
      <c r="C621" s="490"/>
      <c r="D621" s="488">
        <v>82000</v>
      </c>
      <c r="E621" s="488"/>
      <c r="F621" s="470">
        <f t="shared" si="41"/>
        <v>0</v>
      </c>
      <c r="G621" s="488"/>
      <c r="H621" s="798"/>
      <c r="I621" s="488"/>
      <c r="J621" s="488"/>
      <c r="K621" s="488"/>
      <c r="L621" s="488"/>
      <c r="M621" s="761"/>
    </row>
    <row r="622" spans="1:14" ht="20.100000000000001" customHeight="1">
      <c r="A622" s="171">
        <v>2</v>
      </c>
      <c r="B622" s="217" t="s">
        <v>4</v>
      </c>
      <c r="C622" s="492"/>
      <c r="D622" s="491">
        <f>D623+D624</f>
        <v>111716000</v>
      </c>
      <c r="E622" s="491">
        <f>E623+E624</f>
        <v>111716000</v>
      </c>
      <c r="F622" s="491">
        <f>F623+F624</f>
        <v>110716000</v>
      </c>
      <c r="G622" s="491">
        <f>G623+G624</f>
        <v>1000000</v>
      </c>
      <c r="H622" s="799"/>
      <c r="I622" s="491">
        <f>I623+I624</f>
        <v>82790679</v>
      </c>
      <c r="J622" s="491">
        <f>J623+J624+J625</f>
        <v>121788000</v>
      </c>
      <c r="K622" s="491">
        <f>K623+K624+K625</f>
        <v>121788000</v>
      </c>
      <c r="L622" s="491"/>
      <c r="M622" s="634"/>
      <c r="N622" s="119">
        <v>1457000</v>
      </c>
    </row>
    <row r="623" spans="1:14" ht="20.100000000000001" customHeight="1">
      <c r="A623" s="171" t="s">
        <v>1037</v>
      </c>
      <c r="B623" s="217" t="s">
        <v>1177</v>
      </c>
      <c r="C623" s="492"/>
      <c r="D623" s="491">
        <v>75016000</v>
      </c>
      <c r="E623" s="491">
        <v>75016000</v>
      </c>
      <c r="F623" s="466">
        <v>74016000</v>
      </c>
      <c r="G623" s="491">
        <v>1000000</v>
      </c>
      <c r="H623" s="799"/>
      <c r="I623" s="491">
        <v>82790679</v>
      </c>
      <c r="J623" s="491">
        <v>82716157</v>
      </c>
      <c r="K623" s="491">
        <f>J623</f>
        <v>82716157</v>
      </c>
      <c r="L623" s="491"/>
      <c r="M623" s="634"/>
      <c r="N623" s="119"/>
    </row>
    <row r="624" spans="1:14" ht="27" customHeight="1">
      <c r="A624" s="171" t="s">
        <v>1042</v>
      </c>
      <c r="B624" s="217" t="s">
        <v>1178</v>
      </c>
      <c r="C624" s="492"/>
      <c r="D624" s="491">
        <v>36700000</v>
      </c>
      <c r="E624" s="491">
        <v>36700000</v>
      </c>
      <c r="F624" s="491">
        <v>36700000</v>
      </c>
      <c r="G624" s="491"/>
      <c r="H624" s="799"/>
      <c r="I624" s="491"/>
      <c r="J624" s="491">
        <v>38784843</v>
      </c>
      <c r="K624" s="491">
        <v>38784843</v>
      </c>
      <c r="L624" s="491"/>
      <c r="M624" s="761" t="s">
        <v>1416</v>
      </c>
      <c r="N624" s="119"/>
    </row>
    <row r="625" spans="1:14" ht="27" customHeight="1">
      <c r="A625" s="171" t="s">
        <v>1631</v>
      </c>
      <c r="B625" s="217" t="s">
        <v>1632</v>
      </c>
      <c r="C625" s="492"/>
      <c r="D625" s="491"/>
      <c r="E625" s="491"/>
      <c r="F625" s="491"/>
      <c r="G625" s="491"/>
      <c r="H625" s="799"/>
      <c r="I625" s="491"/>
      <c r="J625" s="491">
        <v>287000</v>
      </c>
      <c r="K625" s="491">
        <v>287000</v>
      </c>
      <c r="L625" s="491"/>
      <c r="M625" s="895"/>
      <c r="N625" s="119"/>
    </row>
    <row r="626" spans="1:14" ht="20.100000000000001" customHeight="1">
      <c r="A626" s="171" t="s">
        <v>289</v>
      </c>
      <c r="B626" s="169" t="s">
        <v>1471</v>
      </c>
      <c r="C626" s="471">
        <f t="shared" ref="C626" si="42">(C627)</f>
        <v>0</v>
      </c>
      <c r="D626" s="472">
        <f>(D627)+D710</f>
        <v>3110311.9859999996</v>
      </c>
      <c r="E626" s="472">
        <f>(E627)+E710</f>
        <v>2938961.9859999996</v>
      </c>
      <c r="F626" s="472">
        <f>(F627)+F710</f>
        <v>2938961.9859999996</v>
      </c>
      <c r="G626" s="472"/>
      <c r="H626" s="775"/>
      <c r="I626" s="472">
        <f>(I627)+I710</f>
        <v>3307018.238655</v>
      </c>
      <c r="J626" s="472">
        <f>(J627)+J710</f>
        <v>2955018.238655</v>
      </c>
      <c r="K626" s="472">
        <f>(K627)+K710</f>
        <v>2955018.238655</v>
      </c>
      <c r="L626" s="472"/>
      <c r="M626" s="622"/>
      <c r="N626" s="119"/>
    </row>
    <row r="627" spans="1:14" ht="20.100000000000001" customHeight="1">
      <c r="A627" s="176">
        <v>1</v>
      </c>
      <c r="B627" s="785" t="s">
        <v>1472</v>
      </c>
      <c r="C627" s="471">
        <f t="shared" ref="C627:E627" si="43">C628</f>
        <v>0</v>
      </c>
      <c r="D627" s="472">
        <f t="shared" si="43"/>
        <v>1587617.6869999999</v>
      </c>
      <c r="E627" s="472">
        <f t="shared" si="43"/>
        <v>1507567.6869999999</v>
      </c>
      <c r="F627" s="466">
        <f t="shared" si="41"/>
        <v>1507567.6869999999</v>
      </c>
      <c r="G627" s="472"/>
      <c r="H627" s="775"/>
      <c r="I627" s="472">
        <f>I628</f>
        <v>3307018.238655</v>
      </c>
      <c r="J627" s="472">
        <f>J628</f>
        <v>2955018.238655</v>
      </c>
      <c r="K627" s="472">
        <f>K628</f>
        <v>2955018.238655</v>
      </c>
      <c r="L627" s="472"/>
      <c r="M627" s="622"/>
    </row>
    <row r="628" spans="1:14" ht="20.100000000000001" customHeight="1">
      <c r="A628" s="171"/>
      <c r="B628" s="169" t="s">
        <v>11</v>
      </c>
      <c r="C628" s="471">
        <f>C632+C639+C640</f>
        <v>0</v>
      </c>
      <c r="D628" s="472">
        <f>D632+D639+D640-D631</f>
        <v>1587617.6869999999</v>
      </c>
      <c r="E628" s="472">
        <f>E632+E639+E640-E631</f>
        <v>1507567.6869999999</v>
      </c>
      <c r="F628" s="466">
        <f t="shared" si="41"/>
        <v>1507567.6869999999</v>
      </c>
      <c r="G628" s="472"/>
      <c r="H628" s="775"/>
      <c r="I628" s="472">
        <f>I632+I639+I640-I631</f>
        <v>3307018.238655</v>
      </c>
      <c r="J628" s="472">
        <f>J632+J639+J640-J631</f>
        <v>2955018.238655</v>
      </c>
      <c r="K628" s="472">
        <f>K632+K639+K640-K631</f>
        <v>2955018.238655</v>
      </c>
      <c r="L628" s="472"/>
      <c r="M628" s="622"/>
    </row>
    <row r="629" spans="1:14" ht="20.100000000000001" customHeight="1">
      <c r="A629" s="171"/>
      <c r="B629" s="170" t="s">
        <v>430</v>
      </c>
      <c r="C629" s="490"/>
      <c r="D629" s="488">
        <v>400000</v>
      </c>
      <c r="E629" s="488">
        <v>400000</v>
      </c>
      <c r="F629" s="470">
        <f t="shared" si="41"/>
        <v>400000</v>
      </c>
      <c r="G629" s="488"/>
      <c r="H629" s="798"/>
      <c r="I629" s="488">
        <v>300000</v>
      </c>
      <c r="J629" s="488">
        <v>300000</v>
      </c>
      <c r="K629" s="488">
        <f>J629</f>
        <v>300000</v>
      </c>
      <c r="L629" s="488"/>
      <c r="M629" s="624" t="s">
        <v>711</v>
      </c>
    </row>
    <row r="630" spans="1:14" ht="20.100000000000001" customHeight="1">
      <c r="A630" s="171"/>
      <c r="B630" s="170" t="s">
        <v>431</v>
      </c>
      <c r="C630" s="490"/>
      <c r="D630" s="488">
        <v>300000</v>
      </c>
      <c r="E630" s="488">
        <v>300000</v>
      </c>
      <c r="F630" s="470">
        <f t="shared" si="41"/>
        <v>300000</v>
      </c>
      <c r="G630" s="488"/>
      <c r="H630" s="798"/>
      <c r="I630" s="488">
        <v>250000</v>
      </c>
      <c r="J630" s="488">
        <v>250000</v>
      </c>
      <c r="K630" s="488">
        <f>J630</f>
        <v>250000</v>
      </c>
      <c r="L630" s="488"/>
      <c r="M630" s="624"/>
    </row>
    <row r="631" spans="1:14" ht="20.100000000000001" customHeight="1">
      <c r="A631" s="171"/>
      <c r="B631" s="169" t="s">
        <v>432</v>
      </c>
      <c r="C631" s="492"/>
      <c r="D631" s="491">
        <f>D629-D630</f>
        <v>100000</v>
      </c>
      <c r="E631" s="491">
        <f>E629-E630</f>
        <v>100000</v>
      </c>
      <c r="F631" s="466">
        <f t="shared" si="41"/>
        <v>100000</v>
      </c>
      <c r="G631" s="491"/>
      <c r="H631" s="799"/>
      <c r="I631" s="491">
        <f>I629-I630</f>
        <v>50000</v>
      </c>
      <c r="J631" s="491">
        <f>J629-J630</f>
        <v>50000</v>
      </c>
      <c r="K631" s="491">
        <f>J631</f>
        <v>50000</v>
      </c>
      <c r="L631" s="491"/>
      <c r="M631" s="624"/>
    </row>
    <row r="632" spans="1:14" ht="20.100000000000001" customHeight="1">
      <c r="A632" s="171" t="s">
        <v>1066</v>
      </c>
      <c r="B632" s="169" t="s">
        <v>377</v>
      </c>
      <c r="C632" s="471"/>
      <c r="D632" s="472">
        <f>D633+D636</f>
        <v>737884.83600000001</v>
      </c>
      <c r="E632" s="472">
        <f>E633+E636</f>
        <v>737884.83600000001</v>
      </c>
      <c r="F632" s="466">
        <f t="shared" si="41"/>
        <v>737884.83600000001</v>
      </c>
      <c r="G632" s="472"/>
      <c r="H632" s="775"/>
      <c r="I632" s="472">
        <f>I633+I636</f>
        <v>1356185.3141400001</v>
      </c>
      <c r="J632" s="472">
        <f>J633+J636</f>
        <v>1356185.3141400001</v>
      </c>
      <c r="K632" s="472">
        <f>K633+K636</f>
        <v>1356185.3141400001</v>
      </c>
      <c r="L632" s="472"/>
      <c r="M632" s="622"/>
    </row>
    <row r="633" spans="1:14" ht="20.100000000000001" customHeight="1">
      <c r="A633" s="171"/>
      <c r="B633" s="169" t="s">
        <v>460</v>
      </c>
      <c r="C633" s="471"/>
      <c r="D633" s="472">
        <f>D634+D635</f>
        <v>689681.304</v>
      </c>
      <c r="E633" s="472">
        <f>E634+E635</f>
        <v>689681.304</v>
      </c>
      <c r="F633" s="466">
        <f t="shared" si="41"/>
        <v>689681.304</v>
      </c>
      <c r="G633" s="472"/>
      <c r="H633" s="775"/>
      <c r="I633" s="472">
        <f>I634+I635</f>
        <v>1308025.5341400001</v>
      </c>
      <c r="J633" s="472">
        <f>J634+J635</f>
        <v>1308025.5341400001</v>
      </c>
      <c r="K633" s="472">
        <f>K634+K635</f>
        <v>1308025.5341400001</v>
      </c>
      <c r="L633" s="472"/>
      <c r="M633" s="622"/>
    </row>
    <row r="634" spans="1:14" ht="20.100000000000001" customHeight="1">
      <c r="A634" s="171"/>
      <c r="B634" s="170" t="s">
        <v>1473</v>
      </c>
      <c r="C634" s="489">
        <f>31.78+0.5+0.9+0.1+0.2</f>
        <v>33.480000000000004</v>
      </c>
      <c r="D634" s="488">
        <f>C634*1390*12</f>
        <v>558446.4</v>
      </c>
      <c r="E634" s="488">
        <f>D634</f>
        <v>558446.4</v>
      </c>
      <c r="F634" s="470">
        <f t="shared" si="41"/>
        <v>558446.4</v>
      </c>
      <c r="G634" s="488"/>
      <c r="H634" s="797">
        <f>55.51+0.7623+0.7+1.5+0.2+0.6+0.495</f>
        <v>59.767300000000006</v>
      </c>
      <c r="I634" s="488">
        <f>H634*1490*12</f>
        <v>1068639.324</v>
      </c>
      <c r="J634" s="488">
        <f>I634</f>
        <v>1068639.324</v>
      </c>
      <c r="K634" s="488">
        <f>J634</f>
        <v>1068639.324</v>
      </c>
      <c r="L634" s="488"/>
      <c r="M634" s="622"/>
    </row>
    <row r="635" spans="1:14" ht="20.100000000000001" customHeight="1">
      <c r="A635" s="173"/>
      <c r="B635" s="170" t="s">
        <v>733</v>
      </c>
      <c r="C635" s="489">
        <f>(31.78+0.5+0.9+0.1+0.2)*23.5%</f>
        <v>7.8678000000000008</v>
      </c>
      <c r="D635" s="488">
        <f>C635*1390*12</f>
        <v>131234.90400000004</v>
      </c>
      <c r="E635" s="488">
        <f>D635</f>
        <v>131234.90400000004</v>
      </c>
      <c r="F635" s="470">
        <f t="shared" si="41"/>
        <v>131234.90400000004</v>
      </c>
      <c r="G635" s="488"/>
      <c r="H635" s="797">
        <f>(55.51+0.7623+0.7)*23.5%</f>
        <v>13.3884905</v>
      </c>
      <c r="I635" s="488">
        <f>H635*1490*12</f>
        <v>239386.21014000001</v>
      </c>
      <c r="J635" s="488">
        <f>I635</f>
        <v>239386.21014000001</v>
      </c>
      <c r="K635" s="488">
        <f>J635</f>
        <v>239386.21014000001</v>
      </c>
      <c r="L635" s="488"/>
      <c r="M635" s="622"/>
    </row>
    <row r="636" spans="1:14" ht="20.100000000000001" customHeight="1">
      <c r="A636" s="173"/>
      <c r="B636" s="169" t="s">
        <v>1474</v>
      </c>
      <c r="C636" s="490"/>
      <c r="D636" s="491">
        <f>D637+D638</f>
        <v>48203.531999999992</v>
      </c>
      <c r="E636" s="491">
        <f>E637+E638</f>
        <v>48203.531999999992</v>
      </c>
      <c r="F636" s="466">
        <f t="shared" si="41"/>
        <v>48203.531999999992</v>
      </c>
      <c r="G636" s="491"/>
      <c r="H636" s="799"/>
      <c r="I636" s="491">
        <f>I637+I638</f>
        <v>48159.780000000006</v>
      </c>
      <c r="J636" s="491">
        <f>J637+J638</f>
        <v>48159.780000000006</v>
      </c>
      <c r="K636" s="491">
        <f>K637+K638</f>
        <v>48159.780000000006</v>
      </c>
      <c r="L636" s="491"/>
      <c r="M636" s="622"/>
    </row>
    <row r="637" spans="1:14" ht="20.100000000000001" customHeight="1">
      <c r="A637" s="173"/>
      <c r="B637" s="170" t="s">
        <v>1036</v>
      </c>
      <c r="C637" s="489">
        <v>2.34</v>
      </c>
      <c r="D637" s="488">
        <f>C637*1390*12</f>
        <v>39031.199999999997</v>
      </c>
      <c r="E637" s="488">
        <f>D637</f>
        <v>39031.199999999997</v>
      </c>
      <c r="F637" s="470">
        <f t="shared" si="41"/>
        <v>39031.199999999997</v>
      </c>
      <c r="G637" s="488"/>
      <c r="H637" s="838">
        <f>2.1+0.1</f>
        <v>2.2000000000000002</v>
      </c>
      <c r="I637" s="488">
        <f>H637*1490*12</f>
        <v>39336.000000000007</v>
      </c>
      <c r="J637" s="488">
        <f t="shared" ref="J637:K639" si="44">I637</f>
        <v>39336.000000000007</v>
      </c>
      <c r="K637" s="488">
        <f t="shared" si="44"/>
        <v>39336.000000000007</v>
      </c>
      <c r="L637" s="488"/>
      <c r="M637" s="622"/>
    </row>
    <row r="638" spans="1:14" ht="20.100000000000001" customHeight="1">
      <c r="A638" s="173"/>
      <c r="B638" s="170" t="s">
        <v>175</v>
      </c>
      <c r="C638" s="489">
        <f>2.34*23.5%</f>
        <v>0.54989999999999994</v>
      </c>
      <c r="D638" s="488">
        <f>C638*1390*12</f>
        <v>9172.3319999999985</v>
      </c>
      <c r="E638" s="488">
        <f>D638</f>
        <v>9172.3319999999985</v>
      </c>
      <c r="F638" s="470">
        <f t="shared" si="41"/>
        <v>9172.3319999999985</v>
      </c>
      <c r="G638" s="488"/>
      <c r="H638" s="838">
        <f>2.1*23.5%</f>
        <v>0.49349999999999999</v>
      </c>
      <c r="I638" s="488">
        <f>H638*1490*12</f>
        <v>8823.7799999999988</v>
      </c>
      <c r="J638" s="488">
        <f t="shared" si="44"/>
        <v>8823.7799999999988</v>
      </c>
      <c r="K638" s="488">
        <f t="shared" si="44"/>
        <v>8823.7799999999988</v>
      </c>
      <c r="L638" s="488"/>
      <c r="M638" s="622"/>
    </row>
    <row r="639" spans="1:14" ht="20.100000000000001" customHeight="1">
      <c r="A639" s="171" t="s">
        <v>1076</v>
      </c>
      <c r="B639" s="169" t="s">
        <v>461</v>
      </c>
      <c r="C639" s="492"/>
      <c r="D639" s="491">
        <f>(C634+C635+C637+C638)*1210*20/80*12</f>
        <v>160582.85100000002</v>
      </c>
      <c r="E639" s="491">
        <f>D639</f>
        <v>160582.85100000002</v>
      </c>
      <c r="F639" s="466">
        <f t="shared" si="41"/>
        <v>160582.85100000002</v>
      </c>
      <c r="G639" s="491"/>
      <c r="H639" s="799"/>
      <c r="I639" s="491">
        <f>(H634+H635+H637+H638)*1210*20/80*12</f>
        <v>275332.92451500002</v>
      </c>
      <c r="J639" s="491">
        <f t="shared" si="44"/>
        <v>275332.92451500002</v>
      </c>
      <c r="K639" s="491">
        <f t="shared" si="44"/>
        <v>275332.92451500002</v>
      </c>
      <c r="L639" s="491"/>
      <c r="M639" s="622"/>
    </row>
    <row r="640" spans="1:14" ht="20.100000000000001" customHeight="1">
      <c r="A640" s="171" t="s">
        <v>1204</v>
      </c>
      <c r="B640" s="169" t="s">
        <v>380</v>
      </c>
      <c r="C640" s="492">
        <f t="shared" ref="C640:E640" si="45">C641+C647+C702</f>
        <v>0</v>
      </c>
      <c r="D640" s="464">
        <f t="shared" si="45"/>
        <v>789150</v>
      </c>
      <c r="E640" s="464">
        <f t="shared" si="45"/>
        <v>709100</v>
      </c>
      <c r="F640" s="466">
        <f t="shared" si="41"/>
        <v>709100</v>
      </c>
      <c r="G640" s="464"/>
      <c r="H640" s="799"/>
      <c r="I640" s="464">
        <f>I641+I647+I702</f>
        <v>1725500</v>
      </c>
      <c r="J640" s="464">
        <f>J641+J647+J702</f>
        <v>1373500</v>
      </c>
      <c r="K640" s="464">
        <f>K641+K647+K702</f>
        <v>1373500</v>
      </c>
      <c r="L640" s="464"/>
      <c r="M640" s="643"/>
      <c r="N640" s="116" t="e">
        <f>#REF!-#REF!</f>
        <v>#REF!</v>
      </c>
    </row>
    <row r="641" spans="1:14" ht="20.100000000000001" customHeight="1">
      <c r="A641" s="171" t="s">
        <v>1205</v>
      </c>
      <c r="B641" s="169" t="s">
        <v>139</v>
      </c>
      <c r="C641" s="471">
        <f t="shared" ref="C641:E641" si="46">SUM(C642:C643)</f>
        <v>0</v>
      </c>
      <c r="D641" s="472">
        <f t="shared" si="46"/>
        <v>101500</v>
      </c>
      <c r="E641" s="472">
        <f t="shared" si="46"/>
        <v>101500</v>
      </c>
      <c r="F641" s="466">
        <f t="shared" si="41"/>
        <v>101500</v>
      </c>
      <c r="G641" s="472"/>
      <c r="H641" s="775"/>
      <c r="I641" s="472">
        <f>SUM(I642:I646)</f>
        <v>234600</v>
      </c>
      <c r="J641" s="472">
        <f>SUM(J642:J646)</f>
        <v>164500</v>
      </c>
      <c r="K641" s="472">
        <f>SUM(K642:K646)</f>
        <v>164500</v>
      </c>
      <c r="L641" s="472"/>
      <c r="M641" s="622"/>
    </row>
    <row r="642" spans="1:14" ht="20.100000000000001" customHeight="1">
      <c r="A642" s="171"/>
      <c r="B642" s="170" t="s">
        <v>1038</v>
      </c>
      <c r="C642" s="490"/>
      <c r="D642" s="488">
        <f>5000*12</f>
        <v>60000</v>
      </c>
      <c r="E642" s="488">
        <f>D642</f>
        <v>60000</v>
      </c>
      <c r="F642" s="470">
        <f>E642</f>
        <v>60000</v>
      </c>
      <c r="G642" s="488"/>
      <c r="H642" s="798"/>
      <c r="I642" s="488">
        <f>5000*12</f>
        <v>60000</v>
      </c>
      <c r="J642" s="488">
        <f>I642</f>
        <v>60000</v>
      </c>
      <c r="K642" s="488">
        <f>J642</f>
        <v>60000</v>
      </c>
      <c r="L642" s="488"/>
      <c r="M642" s="622"/>
    </row>
    <row r="643" spans="1:14" ht="20.100000000000001" customHeight="1">
      <c r="A643" s="171"/>
      <c r="B643" s="170" t="s">
        <v>1475</v>
      </c>
      <c r="C643" s="490"/>
      <c r="D643" s="488">
        <v>41500</v>
      </c>
      <c r="E643" s="800">
        <v>41500</v>
      </c>
      <c r="F643" s="801">
        <f t="shared" si="41"/>
        <v>41500</v>
      </c>
      <c r="G643" s="839"/>
      <c r="H643" s="840"/>
      <c r="I643" s="839">
        <f>2*5500+14*5000</f>
        <v>81000</v>
      </c>
      <c r="J643" s="839">
        <v>86500</v>
      </c>
      <c r="K643" s="839">
        <v>86500</v>
      </c>
      <c r="L643" s="549"/>
      <c r="M643" s="649"/>
    </row>
    <row r="644" spans="1:14" ht="20.100000000000001" customHeight="1">
      <c r="A644" s="171"/>
      <c r="B644" s="170" t="s">
        <v>1476</v>
      </c>
      <c r="C644" s="490"/>
      <c r="D644" s="488">
        <f>20000</f>
        <v>20000</v>
      </c>
      <c r="E644" s="839"/>
      <c r="F644" s="801"/>
      <c r="G644" s="839"/>
      <c r="H644" s="840"/>
      <c r="I644" s="839">
        <f>16*2000</f>
        <v>32000</v>
      </c>
      <c r="J644" s="839"/>
      <c r="K644" s="839"/>
      <c r="L644" s="549"/>
      <c r="M644" s="1188" t="s">
        <v>1040</v>
      </c>
    </row>
    <row r="645" spans="1:14" ht="20.100000000000001" customHeight="1">
      <c r="A645" s="171"/>
      <c r="B645" s="170" t="s">
        <v>1477</v>
      </c>
      <c r="C645" s="490"/>
      <c r="D645" s="488">
        <f>10*300*5</f>
        <v>15000</v>
      </c>
      <c r="E645" s="839"/>
      <c r="F645" s="801"/>
      <c r="G645" s="839"/>
      <c r="H645" s="840"/>
      <c r="I645" s="839">
        <f>16*500*5</f>
        <v>40000</v>
      </c>
      <c r="J645" s="839"/>
      <c r="K645" s="839"/>
      <c r="L645" s="841"/>
      <c r="M645" s="1189"/>
    </row>
    <row r="646" spans="1:14" ht="20.100000000000001" customHeight="1">
      <c r="A646" s="171"/>
      <c r="B646" s="220" t="s">
        <v>1478</v>
      </c>
      <c r="C646" s="490"/>
      <c r="D646" s="488"/>
      <c r="E646" s="488"/>
      <c r="F646" s="470"/>
      <c r="G646" s="488"/>
      <c r="H646" s="798"/>
      <c r="I646" s="488">
        <f>1800*12</f>
        <v>21600</v>
      </c>
      <c r="J646" s="488">
        <f>1500*12</f>
        <v>18000</v>
      </c>
      <c r="K646" s="488">
        <f>1500*12</f>
        <v>18000</v>
      </c>
      <c r="L646" s="758"/>
      <c r="M646" s="760"/>
    </row>
    <row r="647" spans="1:14" ht="20.100000000000001" customHeight="1">
      <c r="A647" s="171" t="s">
        <v>1206</v>
      </c>
      <c r="B647" s="169" t="s">
        <v>6</v>
      </c>
      <c r="C647" s="471">
        <f>C648+C666+C673</f>
        <v>0</v>
      </c>
      <c r="D647" s="472">
        <f>D648+D666+D673+D694</f>
        <v>638550</v>
      </c>
      <c r="E647" s="472">
        <f>E648+E666+E673+E694</f>
        <v>558500</v>
      </c>
      <c r="F647" s="466">
        <f t="shared" si="41"/>
        <v>558500</v>
      </c>
      <c r="G647" s="472"/>
      <c r="H647" s="775"/>
      <c r="I647" s="472">
        <f>I648+I666+I673+I694+I700</f>
        <v>1010900</v>
      </c>
      <c r="J647" s="472">
        <f>J648+J666+J673+J694+J700</f>
        <v>794000</v>
      </c>
      <c r="K647" s="472">
        <f>K648+K666+K673+K694+K700</f>
        <v>794000</v>
      </c>
      <c r="L647" s="472"/>
      <c r="M647" s="622"/>
    </row>
    <row r="648" spans="1:14" ht="20.100000000000001" customHeight="1">
      <c r="A648" s="171" t="s">
        <v>1219</v>
      </c>
      <c r="B648" s="169" t="s">
        <v>405</v>
      </c>
      <c r="C648" s="492">
        <f>SUM(C649:C664)</f>
        <v>0</v>
      </c>
      <c r="D648" s="491">
        <f>SUM(D649:D665)</f>
        <v>208550</v>
      </c>
      <c r="E648" s="491">
        <f>SUM(E649:E665)</f>
        <v>168500</v>
      </c>
      <c r="F648" s="466">
        <f t="shared" si="41"/>
        <v>168500</v>
      </c>
      <c r="G648" s="491"/>
      <c r="H648" s="799"/>
      <c r="I648" s="491">
        <f>SUM(I649:I665)</f>
        <v>292900</v>
      </c>
      <c r="J648" s="491">
        <f>SUM(J649:J665)</f>
        <v>184000</v>
      </c>
      <c r="K648" s="491">
        <f>SUM(K649:K665)</f>
        <v>184000</v>
      </c>
      <c r="L648" s="491"/>
      <c r="M648" s="622"/>
    </row>
    <row r="649" spans="1:14" ht="20.100000000000001" customHeight="1">
      <c r="A649" s="173">
        <v>1</v>
      </c>
      <c r="B649" s="170" t="s">
        <v>313</v>
      </c>
      <c r="C649" s="490"/>
      <c r="D649" s="488">
        <v>19000</v>
      </c>
      <c r="E649" s="488">
        <v>14000</v>
      </c>
      <c r="F649" s="470">
        <f t="shared" si="41"/>
        <v>14000</v>
      </c>
      <c r="G649" s="488"/>
      <c r="H649" s="798"/>
      <c r="I649" s="488">
        <v>19000</v>
      </c>
      <c r="J649" s="488">
        <v>14000</v>
      </c>
      <c r="K649" s="488">
        <v>14000</v>
      </c>
      <c r="L649" s="488"/>
      <c r="M649" s="761" t="s">
        <v>313</v>
      </c>
      <c r="N649" s="340"/>
    </row>
    <row r="650" spans="1:14" ht="20.100000000000001" customHeight="1">
      <c r="A650" s="173">
        <v>2</v>
      </c>
      <c r="B650" s="170" t="s">
        <v>1479</v>
      </c>
      <c r="C650" s="490"/>
      <c r="D650" s="488">
        <v>19500</v>
      </c>
      <c r="E650" s="488">
        <v>17250</v>
      </c>
      <c r="F650" s="470">
        <f t="shared" si="41"/>
        <v>17250</v>
      </c>
      <c r="G650" s="488"/>
      <c r="H650" s="798"/>
      <c r="I650" s="488">
        <v>34500</v>
      </c>
      <c r="J650" s="488">
        <f>200*115</f>
        <v>23000</v>
      </c>
      <c r="K650" s="488">
        <f>200*115</f>
        <v>23000</v>
      </c>
      <c r="L650" s="488"/>
      <c r="M650" s="634" t="s">
        <v>1480</v>
      </c>
    </row>
    <row r="651" spans="1:14" ht="20.100000000000001" customHeight="1">
      <c r="A651" s="173">
        <v>3</v>
      </c>
      <c r="B651" s="170" t="s">
        <v>53</v>
      </c>
      <c r="C651" s="490"/>
      <c r="D651" s="488">
        <v>8500</v>
      </c>
      <c r="E651" s="488">
        <f>8500</f>
        <v>8500</v>
      </c>
      <c r="F651" s="470">
        <f t="shared" si="41"/>
        <v>8500</v>
      </c>
      <c r="G651" s="488"/>
      <c r="H651" s="798"/>
      <c r="I651" s="488">
        <v>8500</v>
      </c>
      <c r="J651" s="488">
        <f>300*17</f>
        <v>5100</v>
      </c>
      <c r="K651" s="488">
        <f>300*17</f>
        <v>5100</v>
      </c>
      <c r="L651" s="488"/>
      <c r="M651" s="622" t="s">
        <v>1481</v>
      </c>
    </row>
    <row r="652" spans="1:14" ht="20.100000000000001" customHeight="1">
      <c r="A652" s="173">
        <v>4</v>
      </c>
      <c r="B652" s="170" t="s">
        <v>54</v>
      </c>
      <c r="C652" s="490"/>
      <c r="D652" s="488">
        <v>8000</v>
      </c>
      <c r="E652" s="488">
        <v>8000</v>
      </c>
      <c r="F652" s="470">
        <f t="shared" si="41"/>
        <v>8000</v>
      </c>
      <c r="G652" s="488"/>
      <c r="H652" s="798"/>
      <c r="I652" s="488">
        <f>200* 40</f>
        <v>8000</v>
      </c>
      <c r="J652" s="488">
        <f>150*40</f>
        <v>6000</v>
      </c>
      <c r="K652" s="488">
        <f>150*40</f>
        <v>6000</v>
      </c>
      <c r="L652" s="488"/>
      <c r="M652" s="622" t="s">
        <v>610</v>
      </c>
    </row>
    <row r="653" spans="1:14" ht="20.100000000000001" customHeight="1">
      <c r="A653" s="173">
        <v>5</v>
      </c>
      <c r="B653" s="170" t="s">
        <v>1482</v>
      </c>
      <c r="C653" s="490"/>
      <c r="D653" s="488">
        <v>1500</v>
      </c>
      <c r="E653" s="488">
        <v>1500</v>
      </c>
      <c r="F653" s="470">
        <f t="shared" si="41"/>
        <v>1500</v>
      </c>
      <c r="G653" s="488"/>
      <c r="H653" s="798"/>
      <c r="I653" s="488">
        <f>5*950</f>
        <v>4750</v>
      </c>
      <c r="J653" s="488">
        <v>4750</v>
      </c>
      <c r="K653" s="488">
        <v>4750</v>
      </c>
      <c r="L653" s="488"/>
      <c r="M653" s="622"/>
    </row>
    <row r="654" spans="1:14" ht="20.100000000000001" customHeight="1">
      <c r="A654" s="173">
        <v>6</v>
      </c>
      <c r="B654" s="170" t="s">
        <v>1483</v>
      </c>
      <c r="C654" s="490"/>
      <c r="D654" s="488">
        <v>2250</v>
      </c>
      <c r="E654" s="488">
        <v>2250</v>
      </c>
      <c r="F654" s="470">
        <f t="shared" si="41"/>
        <v>2250</v>
      </c>
      <c r="G654" s="488"/>
      <c r="H654" s="798"/>
      <c r="I654" s="488">
        <f>4*950</f>
        <v>3800</v>
      </c>
      <c r="J654" s="488">
        <v>3800</v>
      </c>
      <c r="K654" s="488">
        <v>3800</v>
      </c>
      <c r="L654" s="488"/>
      <c r="M654" s="622"/>
    </row>
    <row r="655" spans="1:14" ht="20.100000000000001" customHeight="1">
      <c r="A655" s="173">
        <v>8</v>
      </c>
      <c r="B655" s="170" t="s">
        <v>1484</v>
      </c>
      <c r="C655" s="490"/>
      <c r="D655" s="488">
        <v>22100</v>
      </c>
      <c r="E655" s="488">
        <v>5700</v>
      </c>
      <c r="F655" s="470">
        <f t="shared" si="41"/>
        <v>5700</v>
      </c>
      <c r="G655" s="488"/>
      <c r="H655" s="798"/>
      <c r="I655" s="488">
        <f>5700+34500+9000</f>
        <v>49200</v>
      </c>
      <c r="J655" s="488">
        <v>5700</v>
      </c>
      <c r="K655" s="488">
        <v>5700</v>
      </c>
      <c r="L655" s="488"/>
      <c r="M655" s="622" t="s">
        <v>1045</v>
      </c>
    </row>
    <row r="656" spans="1:14" ht="20.100000000000001" customHeight="1">
      <c r="A656" s="173">
        <v>9</v>
      </c>
      <c r="B656" s="170" t="s">
        <v>1485</v>
      </c>
      <c r="C656" s="490"/>
      <c r="D656" s="488">
        <v>1500</v>
      </c>
      <c r="E656" s="488">
        <v>1500</v>
      </c>
      <c r="F656" s="470">
        <f t="shared" si="41"/>
        <v>1500</v>
      </c>
      <c r="G656" s="488"/>
      <c r="H656" s="798"/>
      <c r="I656" s="488">
        <f>5*950</f>
        <v>4750</v>
      </c>
      <c r="J656" s="488">
        <v>4750</v>
      </c>
      <c r="K656" s="488">
        <v>4750</v>
      </c>
      <c r="L656" s="488"/>
      <c r="M656" s="622"/>
    </row>
    <row r="657" spans="1:13" ht="20.100000000000001" customHeight="1">
      <c r="A657" s="173">
        <v>10</v>
      </c>
      <c r="B657" s="170" t="s">
        <v>1486</v>
      </c>
      <c r="C657" s="490"/>
      <c r="D657" s="488">
        <v>24500</v>
      </c>
      <c r="E657" s="488">
        <f>6*1350</f>
        <v>8100</v>
      </c>
      <c r="F657" s="470">
        <f t="shared" si="41"/>
        <v>8100</v>
      </c>
      <c r="G657" s="488"/>
      <c r="H657" s="798"/>
      <c r="I657" s="488">
        <f>6*950+300*115+100*90</f>
        <v>49200</v>
      </c>
      <c r="J657" s="488">
        <f>6*950</f>
        <v>5700</v>
      </c>
      <c r="K657" s="488">
        <f>6*950</f>
        <v>5700</v>
      </c>
      <c r="L657" s="488"/>
      <c r="M657" s="624" t="s">
        <v>1487</v>
      </c>
    </row>
    <row r="658" spans="1:13" ht="20.100000000000001" customHeight="1">
      <c r="A658" s="173">
        <v>12</v>
      </c>
      <c r="B658" s="170" t="s">
        <v>1488</v>
      </c>
      <c r="C658" s="490"/>
      <c r="D658" s="488">
        <v>1500</v>
      </c>
      <c r="E658" s="488">
        <v>1500</v>
      </c>
      <c r="F658" s="470">
        <f t="shared" si="41"/>
        <v>1500</v>
      </c>
      <c r="G658" s="488"/>
      <c r="H658" s="798"/>
      <c r="I658" s="488">
        <f>5*950</f>
        <v>4750</v>
      </c>
      <c r="J658" s="488">
        <v>4750</v>
      </c>
      <c r="K658" s="488">
        <v>4750</v>
      </c>
      <c r="L658" s="488"/>
      <c r="M658" s="622"/>
    </row>
    <row r="659" spans="1:13" ht="20.100000000000001" customHeight="1">
      <c r="A659" s="173"/>
      <c r="B659" s="170" t="s">
        <v>1489</v>
      </c>
      <c r="C659" s="490"/>
      <c r="D659" s="488"/>
      <c r="E659" s="488"/>
      <c r="F659" s="470"/>
      <c r="G659" s="488"/>
      <c r="H659" s="798"/>
      <c r="I659" s="488">
        <f>4*950</f>
        <v>3800</v>
      </c>
      <c r="J659" s="488">
        <v>3800</v>
      </c>
      <c r="K659" s="488">
        <v>3800</v>
      </c>
      <c r="L659" s="488"/>
      <c r="M659" s="622"/>
    </row>
    <row r="660" spans="1:13" ht="20.100000000000001" customHeight="1">
      <c r="A660" s="173"/>
      <c r="B660" s="170" t="s">
        <v>1490</v>
      </c>
      <c r="C660" s="490"/>
      <c r="D660" s="488"/>
      <c r="E660" s="488"/>
      <c r="F660" s="470"/>
      <c r="G660" s="488"/>
      <c r="H660" s="798"/>
      <c r="I660" s="488">
        <f>4*950</f>
        <v>3800</v>
      </c>
      <c r="J660" s="488">
        <v>3800</v>
      </c>
      <c r="K660" s="488">
        <v>3800</v>
      </c>
      <c r="L660" s="488"/>
      <c r="M660" s="622"/>
    </row>
    <row r="661" spans="1:13" ht="20.100000000000001" customHeight="1">
      <c r="A661" s="173">
        <v>15</v>
      </c>
      <c r="B661" s="170" t="s">
        <v>1049</v>
      </c>
      <c r="C661" s="490"/>
      <c r="D661" s="488">
        <f>200*11</f>
        <v>2200</v>
      </c>
      <c r="E661" s="488">
        <v>2200</v>
      </c>
      <c r="F661" s="470">
        <f t="shared" si="41"/>
        <v>2200</v>
      </c>
      <c r="G661" s="488"/>
      <c r="H661" s="798"/>
      <c r="I661" s="488">
        <f>150*11</f>
        <v>1650</v>
      </c>
      <c r="J661" s="488">
        <v>1650</v>
      </c>
      <c r="K661" s="488">
        <v>1650</v>
      </c>
      <c r="L661" s="488"/>
      <c r="M661" s="622" t="s">
        <v>1491</v>
      </c>
    </row>
    <row r="662" spans="1:13" ht="20.100000000000001" customHeight="1">
      <c r="A662" s="173">
        <v>16</v>
      </c>
      <c r="B662" s="170" t="s">
        <v>131</v>
      </c>
      <c r="C662" s="490"/>
      <c r="D662" s="488">
        <v>2000</v>
      </c>
      <c r="E662" s="488">
        <v>2000</v>
      </c>
      <c r="F662" s="470">
        <f t="shared" si="41"/>
        <v>2000</v>
      </c>
      <c r="G662" s="488"/>
      <c r="H662" s="798"/>
      <c r="I662" s="488">
        <f>300*4</f>
        <v>1200</v>
      </c>
      <c r="J662" s="488">
        <v>1200</v>
      </c>
      <c r="K662" s="488">
        <v>1200</v>
      </c>
      <c r="L662" s="488"/>
      <c r="M662" s="622" t="s">
        <v>1492</v>
      </c>
    </row>
    <row r="663" spans="1:13" ht="20.100000000000001" customHeight="1">
      <c r="A663" s="173">
        <v>18</v>
      </c>
      <c r="B663" s="170" t="s">
        <v>1</v>
      </c>
      <c r="C663" s="490"/>
      <c r="D663" s="488">
        <v>20000</v>
      </c>
      <c r="E663" s="488">
        <v>20000</v>
      </c>
      <c r="F663" s="470">
        <f t="shared" si="41"/>
        <v>20000</v>
      </c>
      <c r="G663" s="488"/>
      <c r="H663" s="798"/>
      <c r="I663" s="488">
        <v>20000</v>
      </c>
      <c r="J663" s="488">
        <v>20000</v>
      </c>
      <c r="K663" s="488">
        <v>20000</v>
      </c>
      <c r="L663" s="488"/>
      <c r="M663" s="358"/>
    </row>
    <row r="664" spans="1:13" ht="20.100000000000001" customHeight="1">
      <c r="A664" s="173">
        <v>19</v>
      </c>
      <c r="B664" s="170" t="s">
        <v>133</v>
      </c>
      <c r="C664" s="490"/>
      <c r="D664" s="488">
        <v>20000</v>
      </c>
      <c r="E664" s="488">
        <v>20000</v>
      </c>
      <c r="F664" s="470">
        <f t="shared" si="41"/>
        <v>20000</v>
      </c>
      <c r="G664" s="488"/>
      <c r="H664" s="798"/>
      <c r="I664" s="488">
        <v>20000</v>
      </c>
      <c r="J664" s="488">
        <v>20000</v>
      </c>
      <c r="K664" s="488">
        <v>20000</v>
      </c>
      <c r="L664" s="488"/>
      <c r="M664" s="358"/>
    </row>
    <row r="665" spans="1:13" ht="20.100000000000001" customHeight="1">
      <c r="A665" s="173">
        <v>21</v>
      </c>
      <c r="B665" s="170" t="s">
        <v>1051</v>
      </c>
      <c r="C665" s="490"/>
      <c r="D665" s="488">
        <v>56000</v>
      </c>
      <c r="E665" s="488">
        <v>56000</v>
      </c>
      <c r="F665" s="470">
        <f t="shared" si="41"/>
        <v>56000</v>
      </c>
      <c r="G665" s="488"/>
      <c r="H665" s="798"/>
      <c r="I665" s="488">
        <v>56000</v>
      </c>
      <c r="J665" s="488">
        <v>56000</v>
      </c>
      <c r="K665" s="488">
        <v>56000</v>
      </c>
      <c r="L665" s="488"/>
      <c r="M665" s="358" t="s">
        <v>1493</v>
      </c>
    </row>
    <row r="666" spans="1:13" ht="20.100000000000001" customHeight="1">
      <c r="A666" s="171" t="s">
        <v>1220</v>
      </c>
      <c r="B666" s="169" t="s">
        <v>1052</v>
      </c>
      <c r="C666" s="471">
        <f t="shared" ref="C666:E666" si="47">SUM(C667:C671)</f>
        <v>0</v>
      </c>
      <c r="D666" s="472">
        <f t="shared" si="47"/>
        <v>67000</v>
      </c>
      <c r="E666" s="472">
        <f t="shared" si="47"/>
        <v>62000</v>
      </c>
      <c r="F666" s="466">
        <f t="shared" si="41"/>
        <v>62000</v>
      </c>
      <c r="G666" s="472"/>
      <c r="H666" s="775"/>
      <c r="I666" s="472">
        <f>SUM(I667:I672)</f>
        <v>97000</v>
      </c>
      <c r="J666" s="472">
        <f>SUM(J667:J672)</f>
        <v>62000</v>
      </c>
      <c r="K666" s="472">
        <f>SUM(K667:K672)</f>
        <v>62000</v>
      </c>
      <c r="L666" s="472"/>
      <c r="M666" s="622"/>
    </row>
    <row r="667" spans="1:13" ht="20.100000000000001" customHeight="1">
      <c r="A667" s="173">
        <v>1</v>
      </c>
      <c r="B667" s="170" t="s">
        <v>134</v>
      </c>
      <c r="C667" s="490"/>
      <c r="D667" s="488">
        <v>15000</v>
      </c>
      <c r="E667" s="488">
        <v>15000</v>
      </c>
      <c r="F667" s="470">
        <f t="shared" si="41"/>
        <v>15000</v>
      </c>
      <c r="G667" s="488"/>
      <c r="H667" s="798"/>
      <c r="I667" s="488">
        <v>15000</v>
      </c>
      <c r="J667" s="488">
        <v>15000</v>
      </c>
      <c r="K667" s="488">
        <v>15000</v>
      </c>
      <c r="L667" s="488"/>
      <c r="M667" s="622"/>
    </row>
    <row r="668" spans="1:13" ht="20.100000000000001" customHeight="1">
      <c r="A668" s="173">
        <v>2</v>
      </c>
      <c r="B668" s="170" t="s">
        <v>1053</v>
      </c>
      <c r="C668" s="490"/>
      <c r="D668" s="488">
        <v>20000</v>
      </c>
      <c r="E668" s="488">
        <v>15000</v>
      </c>
      <c r="F668" s="470">
        <f t="shared" si="41"/>
        <v>15000</v>
      </c>
      <c r="G668" s="488"/>
      <c r="H668" s="798"/>
      <c r="I668" s="488">
        <v>20000</v>
      </c>
      <c r="J668" s="488">
        <v>15000</v>
      </c>
      <c r="K668" s="488">
        <v>15000</v>
      </c>
      <c r="L668" s="488"/>
      <c r="M668" s="622"/>
    </row>
    <row r="669" spans="1:13" ht="20.100000000000001" customHeight="1">
      <c r="A669" s="173">
        <v>4</v>
      </c>
      <c r="B669" s="170" t="s">
        <v>394</v>
      </c>
      <c r="C669" s="490"/>
      <c r="D669" s="488">
        <v>10000</v>
      </c>
      <c r="E669" s="488">
        <v>10000</v>
      </c>
      <c r="F669" s="470">
        <f t="shared" si="41"/>
        <v>10000</v>
      </c>
      <c r="G669" s="488"/>
      <c r="H669" s="798"/>
      <c r="I669" s="488">
        <v>10000</v>
      </c>
      <c r="J669" s="488">
        <v>10000</v>
      </c>
      <c r="K669" s="488">
        <v>10000</v>
      </c>
      <c r="L669" s="488"/>
      <c r="M669" s="622"/>
    </row>
    <row r="670" spans="1:13" ht="20.100000000000001" customHeight="1">
      <c r="A670" s="173">
        <v>5</v>
      </c>
      <c r="B670" s="170" t="s">
        <v>8</v>
      </c>
      <c r="C670" s="490"/>
      <c r="D670" s="488">
        <v>10000</v>
      </c>
      <c r="E670" s="488">
        <v>10000</v>
      </c>
      <c r="F670" s="470">
        <f t="shared" si="41"/>
        <v>10000</v>
      </c>
      <c r="G670" s="488"/>
      <c r="H670" s="798"/>
      <c r="I670" s="488">
        <v>10000</v>
      </c>
      <c r="J670" s="488">
        <v>10000</v>
      </c>
      <c r="K670" s="488">
        <v>10000</v>
      </c>
      <c r="L670" s="488"/>
      <c r="M670" s="622"/>
    </row>
    <row r="671" spans="1:13" ht="20.100000000000001" customHeight="1">
      <c r="A671" s="173">
        <v>6</v>
      </c>
      <c r="B671" s="170" t="s">
        <v>135</v>
      </c>
      <c r="C671" s="490"/>
      <c r="D671" s="488">
        <v>12000</v>
      </c>
      <c r="E671" s="488">
        <v>12000</v>
      </c>
      <c r="F671" s="470">
        <f t="shared" si="41"/>
        <v>12000</v>
      </c>
      <c r="G671" s="488"/>
      <c r="H671" s="798"/>
      <c r="I671" s="488">
        <v>12000</v>
      </c>
      <c r="J671" s="488">
        <v>12000</v>
      </c>
      <c r="K671" s="488">
        <v>12000</v>
      </c>
      <c r="L671" s="488"/>
      <c r="M671" s="622" t="s">
        <v>136</v>
      </c>
    </row>
    <row r="672" spans="1:13" ht="20.100000000000001" customHeight="1">
      <c r="A672" s="173">
        <v>7</v>
      </c>
      <c r="B672" s="170" t="s">
        <v>1494</v>
      </c>
      <c r="C672" s="490"/>
      <c r="D672" s="488"/>
      <c r="E672" s="488"/>
      <c r="F672" s="470"/>
      <c r="G672" s="488"/>
      <c r="H672" s="798"/>
      <c r="I672" s="488">
        <v>30000</v>
      </c>
      <c r="J672" s="488"/>
      <c r="K672" s="488"/>
      <c r="L672" s="488"/>
      <c r="M672" s="622" t="s">
        <v>1495</v>
      </c>
    </row>
    <row r="673" spans="1:13" ht="20.100000000000001" customHeight="1">
      <c r="A673" s="171" t="s">
        <v>1221</v>
      </c>
      <c r="B673" s="169" t="s">
        <v>789</v>
      </c>
      <c r="C673" s="492">
        <f>C674+C682</f>
        <v>0</v>
      </c>
      <c r="D673" s="464">
        <f>D674+D682+D694</f>
        <v>334000</v>
      </c>
      <c r="E673" s="464">
        <f>E674+E682+E694</f>
        <v>299000</v>
      </c>
      <c r="F673" s="466">
        <f t="shared" ref="F673:F714" si="48">E673</f>
        <v>299000</v>
      </c>
      <c r="G673" s="464"/>
      <c r="H673" s="799"/>
      <c r="I673" s="464">
        <f>I674+I682</f>
        <v>420000</v>
      </c>
      <c r="J673" s="464">
        <f>J674+J682</f>
        <v>355000</v>
      </c>
      <c r="K673" s="464">
        <f>K674+K682</f>
        <v>355000</v>
      </c>
      <c r="L673" s="464"/>
      <c r="M673" s="622"/>
    </row>
    <row r="674" spans="1:13" ht="20.100000000000001" customHeight="1">
      <c r="A674" s="171" t="s">
        <v>551</v>
      </c>
      <c r="B674" s="169" t="s">
        <v>9</v>
      </c>
      <c r="C674" s="492">
        <f t="shared" ref="C674:D674" si="49">SUM(C675:C680)</f>
        <v>0</v>
      </c>
      <c r="D674" s="464">
        <f t="shared" si="49"/>
        <v>115000</v>
      </c>
      <c r="E674" s="464">
        <f>SUM(E675:E681)</f>
        <v>95000</v>
      </c>
      <c r="F674" s="464">
        <f>SUM(F675:F681)</f>
        <v>95000</v>
      </c>
      <c r="G674" s="464"/>
      <c r="H674" s="799"/>
      <c r="I674" s="464">
        <f>SUM(I675:I681)</f>
        <v>145000</v>
      </c>
      <c r="J674" s="464">
        <f>SUM(J675:J681)</f>
        <v>110000</v>
      </c>
      <c r="K674" s="464">
        <f>SUM(K675:K681)</f>
        <v>110000</v>
      </c>
      <c r="L674" s="464"/>
      <c r="M674" s="622"/>
    </row>
    <row r="675" spans="1:13" ht="20.100000000000001" customHeight="1">
      <c r="A675" s="173"/>
      <c r="B675" s="170" t="s">
        <v>121</v>
      </c>
      <c r="C675" s="490"/>
      <c r="D675" s="488">
        <v>15000</v>
      </c>
      <c r="E675" s="488">
        <v>15000</v>
      </c>
      <c r="F675" s="470">
        <f t="shared" si="48"/>
        <v>15000</v>
      </c>
      <c r="G675" s="488"/>
      <c r="H675" s="798"/>
      <c r="I675" s="488">
        <v>20000</v>
      </c>
      <c r="J675" s="488">
        <v>15000</v>
      </c>
      <c r="K675" s="488">
        <v>15000</v>
      </c>
      <c r="L675" s="488"/>
      <c r="M675" s="358" t="s">
        <v>1050</v>
      </c>
    </row>
    <row r="676" spans="1:13" ht="20.100000000000001" customHeight="1">
      <c r="A676" s="173"/>
      <c r="B676" s="170" t="s">
        <v>122</v>
      </c>
      <c r="C676" s="490"/>
      <c r="D676" s="488">
        <v>15000</v>
      </c>
      <c r="E676" s="488">
        <v>15000</v>
      </c>
      <c r="F676" s="470">
        <f t="shared" si="48"/>
        <v>15000</v>
      </c>
      <c r="G676" s="488"/>
      <c r="H676" s="798"/>
      <c r="I676" s="488">
        <v>20000</v>
      </c>
      <c r="J676" s="488">
        <v>15000</v>
      </c>
      <c r="K676" s="488">
        <v>15000</v>
      </c>
      <c r="L676" s="488"/>
      <c r="M676" s="358" t="s">
        <v>1050</v>
      </c>
    </row>
    <row r="677" spans="1:13" ht="20.100000000000001" customHeight="1">
      <c r="A677" s="173"/>
      <c r="B677" s="170" t="s">
        <v>123</v>
      </c>
      <c r="C677" s="490"/>
      <c r="D677" s="488">
        <v>15000</v>
      </c>
      <c r="E677" s="488">
        <v>15000</v>
      </c>
      <c r="F677" s="470">
        <f t="shared" si="48"/>
        <v>15000</v>
      </c>
      <c r="G677" s="488"/>
      <c r="H677" s="798"/>
      <c r="I677" s="488">
        <v>20000</v>
      </c>
      <c r="J677" s="488">
        <v>15000</v>
      </c>
      <c r="K677" s="488">
        <v>15000</v>
      </c>
      <c r="L677" s="488"/>
      <c r="M677" s="358" t="s">
        <v>1050</v>
      </c>
    </row>
    <row r="678" spans="1:13" ht="20.100000000000001" customHeight="1">
      <c r="A678" s="173"/>
      <c r="B678" s="170" t="s">
        <v>424</v>
      </c>
      <c r="C678" s="490"/>
      <c r="D678" s="488">
        <v>20000</v>
      </c>
      <c r="E678" s="488">
        <v>15000</v>
      </c>
      <c r="F678" s="470">
        <f t="shared" si="48"/>
        <v>15000</v>
      </c>
      <c r="G678" s="488"/>
      <c r="H678" s="798"/>
      <c r="I678" s="488">
        <v>20000</v>
      </c>
      <c r="J678" s="488">
        <v>15000</v>
      </c>
      <c r="K678" s="488">
        <v>15000</v>
      </c>
      <c r="L678" s="488"/>
      <c r="M678" s="358" t="s">
        <v>1050</v>
      </c>
    </row>
    <row r="679" spans="1:13" ht="20.100000000000001" customHeight="1">
      <c r="A679" s="173"/>
      <c r="B679" s="170" t="s">
        <v>799</v>
      </c>
      <c r="C679" s="490"/>
      <c r="D679" s="488">
        <v>30000</v>
      </c>
      <c r="E679" s="488">
        <v>20000</v>
      </c>
      <c r="F679" s="470">
        <f t="shared" si="48"/>
        <v>20000</v>
      </c>
      <c r="G679" s="488"/>
      <c r="H679" s="798"/>
      <c r="I679" s="488">
        <v>30000</v>
      </c>
      <c r="J679" s="488">
        <v>20000</v>
      </c>
      <c r="K679" s="488">
        <v>20000</v>
      </c>
      <c r="L679" s="488"/>
      <c r="M679" s="358" t="s">
        <v>1050</v>
      </c>
    </row>
    <row r="680" spans="1:13" ht="20.100000000000001" customHeight="1">
      <c r="A680" s="173"/>
      <c r="B680" s="170" t="s">
        <v>462</v>
      </c>
      <c r="C680" s="490"/>
      <c r="D680" s="488">
        <v>20000</v>
      </c>
      <c r="E680" s="488">
        <v>15000</v>
      </c>
      <c r="F680" s="470">
        <f t="shared" si="48"/>
        <v>15000</v>
      </c>
      <c r="G680" s="488"/>
      <c r="H680" s="798"/>
      <c r="I680" s="488">
        <v>15000</v>
      </c>
      <c r="J680" s="488">
        <v>15000</v>
      </c>
      <c r="K680" s="488">
        <v>15000</v>
      </c>
      <c r="L680" s="488"/>
      <c r="M680" s="358" t="s">
        <v>1050</v>
      </c>
    </row>
    <row r="681" spans="1:13" ht="20.100000000000001" customHeight="1">
      <c r="A681" s="173"/>
      <c r="B681" s="170" t="s">
        <v>465</v>
      </c>
      <c r="C681" s="490"/>
      <c r="D681" s="488"/>
      <c r="E681" s="488"/>
      <c r="F681" s="470"/>
      <c r="G681" s="488"/>
      <c r="H681" s="798"/>
      <c r="I681" s="488">
        <v>20000</v>
      </c>
      <c r="J681" s="488">
        <v>15000</v>
      </c>
      <c r="K681" s="488">
        <v>15000</v>
      </c>
      <c r="L681" s="488"/>
      <c r="M681" s="358" t="s">
        <v>1050</v>
      </c>
    </row>
    <row r="682" spans="1:13" ht="20.100000000000001" customHeight="1">
      <c r="A682" s="171" t="s">
        <v>552</v>
      </c>
      <c r="B682" s="169" t="s">
        <v>463</v>
      </c>
      <c r="C682" s="492">
        <f>SUM(C683:C688)</f>
        <v>0</v>
      </c>
      <c r="D682" s="491">
        <f>SUM(D683:D689)</f>
        <v>190000</v>
      </c>
      <c r="E682" s="491">
        <f>SUM(E683:E689)</f>
        <v>175000</v>
      </c>
      <c r="F682" s="466">
        <f t="shared" si="48"/>
        <v>175000</v>
      </c>
      <c r="G682" s="491"/>
      <c r="H682" s="799"/>
      <c r="I682" s="491">
        <f>SUM(I683:I693)</f>
        <v>275000</v>
      </c>
      <c r="J682" s="491">
        <f>SUM(J683:J693)</f>
        <v>245000</v>
      </c>
      <c r="K682" s="491">
        <f>SUM(K683:K693)</f>
        <v>245000</v>
      </c>
      <c r="L682" s="491"/>
      <c r="M682" s="358" t="s">
        <v>1050</v>
      </c>
    </row>
    <row r="683" spans="1:13" ht="20.100000000000001" customHeight="1">
      <c r="A683" s="171"/>
      <c r="B683" s="170" t="s">
        <v>124</v>
      </c>
      <c r="C683" s="490"/>
      <c r="D683" s="488">
        <v>20000</v>
      </c>
      <c r="E683" s="488">
        <v>20000</v>
      </c>
      <c r="F683" s="470">
        <f t="shared" si="48"/>
        <v>20000</v>
      </c>
      <c r="G683" s="488"/>
      <c r="H683" s="798"/>
      <c r="I683" s="488">
        <v>20000</v>
      </c>
      <c r="J683" s="488">
        <v>15000</v>
      </c>
      <c r="K683" s="488">
        <v>15000</v>
      </c>
      <c r="L683" s="488"/>
      <c r="M683" s="358" t="s">
        <v>1050</v>
      </c>
    </row>
    <row r="684" spans="1:13" ht="20.100000000000001" customHeight="1">
      <c r="A684" s="171"/>
      <c r="B684" s="170" t="s">
        <v>123</v>
      </c>
      <c r="C684" s="490"/>
      <c r="D684" s="488">
        <v>30000</v>
      </c>
      <c r="E684" s="488">
        <v>30000</v>
      </c>
      <c r="F684" s="470">
        <f t="shared" si="48"/>
        <v>30000</v>
      </c>
      <c r="G684" s="488"/>
      <c r="H684" s="798"/>
      <c r="I684" s="488">
        <v>30000</v>
      </c>
      <c r="J684" s="488">
        <v>30000</v>
      </c>
      <c r="K684" s="488">
        <v>30000</v>
      </c>
      <c r="L684" s="488"/>
      <c r="M684" s="358" t="s">
        <v>1050</v>
      </c>
    </row>
    <row r="685" spans="1:13" ht="20.100000000000001" customHeight="1">
      <c r="A685" s="171"/>
      <c r="B685" s="170" t="s">
        <v>126</v>
      </c>
      <c r="C685" s="490"/>
      <c r="D685" s="488">
        <v>45000</v>
      </c>
      <c r="E685" s="488">
        <v>30000</v>
      </c>
      <c r="F685" s="470">
        <f t="shared" si="48"/>
        <v>30000</v>
      </c>
      <c r="G685" s="488"/>
      <c r="H685" s="798"/>
      <c r="I685" s="488">
        <v>45000</v>
      </c>
      <c r="J685" s="488">
        <v>30000</v>
      </c>
      <c r="K685" s="488">
        <v>30000</v>
      </c>
      <c r="L685" s="488"/>
      <c r="M685" s="358" t="s">
        <v>1050</v>
      </c>
    </row>
    <row r="686" spans="1:13" ht="20.100000000000001" customHeight="1">
      <c r="A686" s="171"/>
      <c r="B686" s="170" t="s">
        <v>424</v>
      </c>
      <c r="C686" s="490"/>
      <c r="D686" s="488">
        <v>30000</v>
      </c>
      <c r="E686" s="488">
        <v>30000</v>
      </c>
      <c r="F686" s="470">
        <f t="shared" si="48"/>
        <v>30000</v>
      </c>
      <c r="G686" s="488"/>
      <c r="H686" s="798"/>
      <c r="I686" s="488">
        <v>35000</v>
      </c>
      <c r="J686" s="488">
        <v>30000</v>
      </c>
      <c r="K686" s="488">
        <v>30000</v>
      </c>
      <c r="L686" s="488"/>
      <c r="M686" s="358" t="s">
        <v>1050</v>
      </c>
    </row>
    <row r="687" spans="1:13" ht="20.100000000000001" customHeight="1">
      <c r="A687" s="171"/>
      <c r="B687" s="170" t="s">
        <v>464</v>
      </c>
      <c r="C687" s="490"/>
      <c r="D687" s="488">
        <v>25000</v>
      </c>
      <c r="E687" s="488">
        <v>25000</v>
      </c>
      <c r="F687" s="470">
        <f t="shared" si="48"/>
        <v>25000</v>
      </c>
      <c r="G687" s="488"/>
      <c r="H687" s="798"/>
      <c r="I687" s="488">
        <v>25000</v>
      </c>
      <c r="J687" s="488">
        <v>25000</v>
      </c>
      <c r="K687" s="488">
        <v>25000</v>
      </c>
      <c r="L687" s="488"/>
      <c r="M687" s="358" t="s">
        <v>1050</v>
      </c>
    </row>
    <row r="688" spans="1:13" ht="20.100000000000001" customHeight="1">
      <c r="A688" s="171"/>
      <c r="B688" s="170" t="s">
        <v>127</v>
      </c>
      <c r="C688" s="490"/>
      <c r="D688" s="488">
        <v>25000</v>
      </c>
      <c r="E688" s="488">
        <v>25000</v>
      </c>
      <c r="F688" s="470">
        <f t="shared" si="48"/>
        <v>25000</v>
      </c>
      <c r="G688" s="488"/>
      <c r="H688" s="798"/>
      <c r="I688" s="488">
        <v>25000</v>
      </c>
      <c r="J688" s="488">
        <v>25000</v>
      </c>
      <c r="K688" s="488">
        <v>25000</v>
      </c>
      <c r="L688" s="488"/>
      <c r="M688" s="358" t="s">
        <v>1050</v>
      </c>
    </row>
    <row r="689" spans="1:13" ht="20.100000000000001" customHeight="1">
      <c r="A689" s="171"/>
      <c r="B689" s="170" t="s">
        <v>127</v>
      </c>
      <c r="C689" s="490"/>
      <c r="D689" s="488">
        <v>15000</v>
      </c>
      <c r="E689" s="488">
        <v>15000</v>
      </c>
      <c r="F689" s="470">
        <f t="shared" si="48"/>
        <v>15000</v>
      </c>
      <c r="G689" s="488"/>
      <c r="H689" s="798"/>
      <c r="I689" s="488"/>
      <c r="J689" s="488"/>
      <c r="K689" s="488"/>
      <c r="L689" s="488"/>
      <c r="M689" s="358"/>
    </row>
    <row r="690" spans="1:13" ht="20.100000000000001" customHeight="1">
      <c r="A690" s="171"/>
      <c r="B690" s="170" t="s">
        <v>1496</v>
      </c>
      <c r="C690" s="490"/>
      <c r="D690" s="488"/>
      <c r="E690" s="488"/>
      <c r="F690" s="470"/>
      <c r="G690" s="488"/>
      <c r="H690" s="798"/>
      <c r="I690" s="488">
        <v>20000</v>
      </c>
      <c r="J690" s="488">
        <v>20000</v>
      </c>
      <c r="K690" s="488">
        <v>20000</v>
      </c>
      <c r="L690" s="488"/>
      <c r="M690" s="358" t="s">
        <v>1050</v>
      </c>
    </row>
    <row r="691" spans="1:13" ht="20.100000000000001" customHeight="1">
      <c r="A691" s="171"/>
      <c r="B691" s="170" t="s">
        <v>465</v>
      </c>
      <c r="C691" s="490"/>
      <c r="D691" s="488"/>
      <c r="E691" s="488"/>
      <c r="F691" s="470"/>
      <c r="G691" s="488"/>
      <c r="H691" s="798"/>
      <c r="I691" s="488">
        <v>30000</v>
      </c>
      <c r="J691" s="488">
        <v>30000</v>
      </c>
      <c r="K691" s="488">
        <v>30000</v>
      </c>
      <c r="L691" s="488"/>
      <c r="M691" s="358" t="s">
        <v>1050</v>
      </c>
    </row>
    <row r="692" spans="1:13" ht="20.100000000000001" customHeight="1">
      <c r="A692" s="171"/>
      <c r="B692" s="170" t="s">
        <v>125</v>
      </c>
      <c r="C692" s="490"/>
      <c r="D692" s="488"/>
      <c r="E692" s="488"/>
      <c r="F692" s="470"/>
      <c r="G692" s="488"/>
      <c r="H692" s="798"/>
      <c r="I692" s="488">
        <v>25000</v>
      </c>
      <c r="J692" s="488">
        <v>20000</v>
      </c>
      <c r="K692" s="488">
        <v>20000</v>
      </c>
      <c r="L692" s="488"/>
      <c r="M692" s="358" t="s">
        <v>1050</v>
      </c>
    </row>
    <row r="693" spans="1:13" ht="20.100000000000001" customHeight="1">
      <c r="A693" s="171"/>
      <c r="B693" s="170" t="s">
        <v>1497</v>
      </c>
      <c r="C693" s="490"/>
      <c r="D693" s="488"/>
      <c r="E693" s="488"/>
      <c r="F693" s="470"/>
      <c r="G693" s="488"/>
      <c r="H693" s="798"/>
      <c r="I693" s="488">
        <v>20000</v>
      </c>
      <c r="J693" s="488">
        <v>20000</v>
      </c>
      <c r="K693" s="488">
        <v>20000</v>
      </c>
      <c r="L693" s="488"/>
      <c r="M693" s="358" t="s">
        <v>1050</v>
      </c>
    </row>
    <row r="694" spans="1:13" ht="20.100000000000001" customHeight="1">
      <c r="A694" s="171" t="s">
        <v>1222</v>
      </c>
      <c r="B694" s="219" t="s">
        <v>630</v>
      </c>
      <c r="C694" s="471">
        <f t="shared" ref="C694:E694" si="50">SUM(C695:C697)</f>
        <v>0</v>
      </c>
      <c r="D694" s="472">
        <f t="shared" si="50"/>
        <v>29000</v>
      </c>
      <c r="E694" s="472">
        <f t="shared" si="50"/>
        <v>29000</v>
      </c>
      <c r="F694" s="466">
        <f t="shared" si="48"/>
        <v>29000</v>
      </c>
      <c r="G694" s="472"/>
      <c r="H694" s="775"/>
      <c r="I694" s="472">
        <f>SUM(I695:I697)</f>
        <v>31000</v>
      </c>
      <c r="J694" s="472">
        <f>SUM(J695:J697)</f>
        <v>23000</v>
      </c>
      <c r="K694" s="472">
        <f>SUM(K695:K697)</f>
        <v>23000</v>
      </c>
      <c r="L694" s="472"/>
      <c r="M694" s="622"/>
    </row>
    <row r="695" spans="1:13" ht="20.100000000000001" customHeight="1">
      <c r="A695" s="171"/>
      <c r="B695" s="220" t="s">
        <v>1498</v>
      </c>
      <c r="C695" s="490"/>
      <c r="D695" s="488">
        <v>6000</v>
      </c>
      <c r="E695" s="488">
        <v>6000</v>
      </c>
      <c r="F695" s="470">
        <f t="shared" si="48"/>
        <v>6000</v>
      </c>
      <c r="G695" s="488"/>
      <c r="H695" s="798"/>
      <c r="I695" s="488">
        <f>2000*4</f>
        <v>8000</v>
      </c>
      <c r="J695" s="488">
        <v>8000</v>
      </c>
      <c r="K695" s="488">
        <v>8000</v>
      </c>
      <c r="L695" s="488"/>
      <c r="M695" s="358"/>
    </row>
    <row r="696" spans="1:13" ht="20.100000000000001" customHeight="1">
      <c r="A696" s="171"/>
      <c r="B696" s="220" t="s">
        <v>395</v>
      </c>
      <c r="C696" s="490"/>
      <c r="D696" s="488">
        <v>15000</v>
      </c>
      <c r="E696" s="488">
        <v>15000</v>
      </c>
      <c r="F696" s="470">
        <f t="shared" si="48"/>
        <v>15000</v>
      </c>
      <c r="G696" s="488"/>
      <c r="H696" s="798"/>
      <c r="I696" s="488">
        <v>15000</v>
      </c>
      <c r="J696" s="488">
        <v>10000</v>
      </c>
      <c r="K696" s="488">
        <v>10000</v>
      </c>
      <c r="L696" s="488"/>
      <c r="M696" s="358"/>
    </row>
    <row r="697" spans="1:13" ht="20.100000000000001" customHeight="1">
      <c r="A697" s="171"/>
      <c r="B697" s="220" t="s">
        <v>162</v>
      </c>
      <c r="C697" s="490"/>
      <c r="D697" s="488">
        <v>8000</v>
      </c>
      <c r="E697" s="488">
        <v>8000</v>
      </c>
      <c r="F697" s="470">
        <f t="shared" si="48"/>
        <v>8000</v>
      </c>
      <c r="G697" s="488"/>
      <c r="H697" s="798"/>
      <c r="I697" s="488">
        <v>8000</v>
      </c>
      <c r="J697" s="488">
        <v>5000</v>
      </c>
      <c r="K697" s="488">
        <v>5000</v>
      </c>
      <c r="L697" s="488"/>
      <c r="M697" s="358"/>
    </row>
    <row r="698" spans="1:13" ht="20.100000000000001" customHeight="1">
      <c r="A698" s="171"/>
      <c r="B698" s="219"/>
      <c r="C698" s="490"/>
      <c r="D698" s="488"/>
      <c r="E698" s="488"/>
      <c r="F698" s="470"/>
      <c r="G698" s="488"/>
      <c r="H698" s="798"/>
      <c r="I698" s="491"/>
      <c r="J698" s="491"/>
      <c r="K698" s="491"/>
      <c r="L698" s="491"/>
      <c r="M698" s="358"/>
    </row>
    <row r="699" spans="1:13" ht="20.100000000000001" customHeight="1">
      <c r="A699" s="171"/>
      <c r="B699" s="220"/>
      <c r="C699" s="490"/>
      <c r="D699" s="488"/>
      <c r="E699" s="488"/>
      <c r="F699" s="470"/>
      <c r="G699" s="488"/>
      <c r="H699" s="798"/>
      <c r="I699" s="488"/>
      <c r="J699" s="488"/>
      <c r="K699" s="488"/>
      <c r="L699" s="488"/>
      <c r="M699" s="358"/>
    </row>
    <row r="700" spans="1:13" ht="20.100000000000001" customHeight="1">
      <c r="A700" s="171" t="s">
        <v>1499</v>
      </c>
      <c r="B700" s="219" t="s">
        <v>1500</v>
      </c>
      <c r="C700" s="490"/>
      <c r="D700" s="488"/>
      <c r="E700" s="488"/>
      <c r="F700" s="470"/>
      <c r="G700" s="488"/>
      <c r="H700" s="798"/>
      <c r="I700" s="491">
        <f>I701</f>
        <v>170000</v>
      </c>
      <c r="J700" s="491">
        <f>J701</f>
        <v>170000</v>
      </c>
      <c r="K700" s="491">
        <f>K701</f>
        <v>170000</v>
      </c>
      <c r="L700" s="491"/>
      <c r="M700" s="358"/>
    </row>
    <row r="701" spans="1:13" ht="20.100000000000001" customHeight="1">
      <c r="A701" s="171"/>
      <c r="B701" s="220" t="s">
        <v>1501</v>
      </c>
      <c r="C701" s="490"/>
      <c r="D701" s="488"/>
      <c r="E701" s="488"/>
      <c r="F701" s="470"/>
      <c r="G701" s="488"/>
      <c r="H701" s="798"/>
      <c r="I701" s="488">
        <v>170000</v>
      </c>
      <c r="J701" s="488">
        <v>170000</v>
      </c>
      <c r="K701" s="488">
        <v>170000</v>
      </c>
      <c r="L701" s="488"/>
      <c r="M701" s="358"/>
    </row>
    <row r="702" spans="1:13" ht="20.100000000000001" customHeight="1">
      <c r="A702" s="171" t="s">
        <v>1207</v>
      </c>
      <c r="B702" s="169" t="s">
        <v>631</v>
      </c>
      <c r="C702" s="492"/>
      <c r="D702" s="491">
        <f>D703</f>
        <v>49100</v>
      </c>
      <c r="E702" s="491">
        <f>E703</f>
        <v>49100</v>
      </c>
      <c r="F702" s="466">
        <f t="shared" si="48"/>
        <v>49100</v>
      </c>
      <c r="G702" s="491"/>
      <c r="H702" s="799"/>
      <c r="I702" s="466">
        <f>SUM(I703:I709)</f>
        <v>480000</v>
      </c>
      <c r="J702" s="466">
        <f>SUM(J703:J709)</f>
        <v>415000</v>
      </c>
      <c r="K702" s="466">
        <f>SUM(K703:K709)</f>
        <v>415000</v>
      </c>
      <c r="L702" s="466"/>
      <c r="M702" s="622"/>
    </row>
    <row r="703" spans="1:13" ht="20.100000000000001" customHeight="1">
      <c r="A703" s="171"/>
      <c r="B703" s="170" t="s">
        <v>1054</v>
      </c>
      <c r="C703" s="490"/>
      <c r="D703" s="488">
        <v>49100</v>
      </c>
      <c r="E703" s="488">
        <v>49100</v>
      </c>
      <c r="F703" s="470">
        <f t="shared" si="48"/>
        <v>49100</v>
      </c>
      <c r="G703" s="488"/>
      <c r="H703" s="798"/>
      <c r="I703" s="488"/>
      <c r="J703" s="488"/>
      <c r="K703" s="488"/>
      <c r="L703" s="488"/>
      <c r="M703" s="1190"/>
    </row>
    <row r="704" spans="1:13" ht="20.100000000000001" customHeight="1">
      <c r="A704" s="171"/>
      <c r="B704" s="170" t="s">
        <v>1502</v>
      </c>
      <c r="C704" s="490"/>
      <c r="D704" s="488"/>
      <c r="E704" s="488"/>
      <c r="F704" s="470"/>
      <c r="G704" s="488"/>
      <c r="H704" s="798"/>
      <c r="I704" s="488">
        <v>15000</v>
      </c>
      <c r="J704" s="488"/>
      <c r="K704" s="488"/>
      <c r="L704" s="488"/>
      <c r="M704" s="1191"/>
    </row>
    <row r="705" spans="1:13" ht="20.100000000000001" customHeight="1">
      <c r="A705" s="171"/>
      <c r="B705" s="170" t="s">
        <v>1503</v>
      </c>
      <c r="C705" s="490"/>
      <c r="D705" s="488"/>
      <c r="E705" s="488"/>
      <c r="F705" s="470"/>
      <c r="G705" s="488"/>
      <c r="H705" s="798"/>
      <c r="I705" s="488">
        <f>5*12000</f>
        <v>60000</v>
      </c>
      <c r="J705" s="488"/>
      <c r="K705" s="488"/>
      <c r="L705" s="488"/>
      <c r="M705" s="1191"/>
    </row>
    <row r="706" spans="1:13" ht="20.100000000000001" customHeight="1">
      <c r="A706" s="171"/>
      <c r="B706" s="170" t="s">
        <v>1504</v>
      </c>
      <c r="C706" s="490"/>
      <c r="D706" s="488"/>
      <c r="E706" s="488"/>
      <c r="F706" s="470"/>
      <c r="G706" s="488"/>
      <c r="H706" s="798"/>
      <c r="I706" s="488">
        <v>195000</v>
      </c>
      <c r="J706" s="488">
        <v>300000</v>
      </c>
      <c r="K706" s="488">
        <v>300000</v>
      </c>
      <c r="L706" s="488"/>
      <c r="M706" s="1191"/>
    </row>
    <row r="707" spans="1:13" ht="20.100000000000001" customHeight="1">
      <c r="A707" s="171"/>
      <c r="B707" s="170" t="s">
        <v>1505</v>
      </c>
      <c r="C707" s="490"/>
      <c r="D707" s="488"/>
      <c r="E707" s="488"/>
      <c r="F707" s="470"/>
      <c r="G707" s="488"/>
      <c r="H707" s="798"/>
      <c r="I707" s="488">
        <v>90000</v>
      </c>
      <c r="J707" s="488">
        <v>90000</v>
      </c>
      <c r="K707" s="488">
        <v>90000</v>
      </c>
      <c r="L707" s="488"/>
      <c r="M707" s="1191"/>
    </row>
    <row r="708" spans="1:13" ht="20.100000000000001" customHeight="1">
      <c r="A708" s="171"/>
      <c r="B708" s="170" t="s">
        <v>1506</v>
      </c>
      <c r="C708" s="490"/>
      <c r="D708" s="488"/>
      <c r="E708" s="488"/>
      <c r="F708" s="470"/>
      <c r="G708" s="488"/>
      <c r="H708" s="798"/>
      <c r="I708" s="488">
        <v>95000</v>
      </c>
      <c r="J708" s="488">
        <v>25000</v>
      </c>
      <c r="K708" s="488">
        <v>25000</v>
      </c>
      <c r="L708" s="488"/>
      <c r="M708" s="1191"/>
    </row>
    <row r="709" spans="1:13" ht="20.100000000000001" customHeight="1">
      <c r="A709" s="171"/>
      <c r="B709" s="170" t="s">
        <v>1507</v>
      </c>
      <c r="C709" s="490"/>
      <c r="D709" s="488"/>
      <c r="E709" s="488"/>
      <c r="F709" s="470"/>
      <c r="G709" s="488"/>
      <c r="H709" s="798"/>
      <c r="I709" s="488">
        <v>25000</v>
      </c>
      <c r="J709" s="488"/>
      <c r="K709" s="488"/>
      <c r="L709" s="488"/>
      <c r="M709" s="1192"/>
    </row>
    <row r="710" spans="1:13" ht="20.100000000000001" customHeight="1">
      <c r="A710" s="176">
        <v>2</v>
      </c>
      <c r="B710" s="785" t="s">
        <v>1225</v>
      </c>
      <c r="C710" s="492"/>
      <c r="D710" s="491">
        <f>D711+D714+D715</f>
        <v>1522694.2989999996</v>
      </c>
      <c r="E710" s="491">
        <f>E711+E714+E715</f>
        <v>1431394.2989999996</v>
      </c>
      <c r="F710" s="466">
        <f t="shared" si="48"/>
        <v>1431394.2989999996</v>
      </c>
      <c r="G710" s="491"/>
      <c r="H710" s="799"/>
      <c r="I710" s="491"/>
      <c r="J710" s="491"/>
      <c r="K710" s="491"/>
      <c r="L710" s="491"/>
      <c r="M710" s="622"/>
    </row>
    <row r="711" spans="1:13" ht="20.100000000000001" customHeight="1">
      <c r="A711" s="171" t="s">
        <v>454</v>
      </c>
      <c r="B711" s="169" t="s">
        <v>377</v>
      </c>
      <c r="C711" s="471"/>
      <c r="D711" s="472">
        <f>(D712+D713)</f>
        <v>722959.57199999981</v>
      </c>
      <c r="E711" s="472">
        <f>(E712+E713)</f>
        <v>722959.57199999981</v>
      </c>
      <c r="F711" s="466">
        <f t="shared" si="48"/>
        <v>722959.57199999981</v>
      </c>
      <c r="G711" s="472"/>
      <c r="H711" s="775"/>
      <c r="I711" s="472"/>
      <c r="J711" s="472"/>
      <c r="K711" s="472"/>
      <c r="L711" s="472"/>
      <c r="M711" s="622"/>
    </row>
    <row r="712" spans="1:13" ht="20.100000000000001" customHeight="1">
      <c r="A712" s="171"/>
      <c r="B712" s="170" t="s">
        <v>268</v>
      </c>
      <c r="C712" s="489">
        <f>32.65+0.69+0.5+0.9+0.3+0.4</f>
        <v>35.439999999999991</v>
      </c>
      <c r="D712" s="488">
        <f>C712*1390*12</f>
        <v>591139.19999999984</v>
      </c>
      <c r="E712" s="488">
        <f>D712</f>
        <v>591139.19999999984</v>
      </c>
      <c r="F712" s="470">
        <f t="shared" si="48"/>
        <v>591139.19999999984</v>
      </c>
      <c r="G712" s="488"/>
      <c r="H712" s="798"/>
      <c r="I712" s="488"/>
      <c r="J712" s="488"/>
      <c r="K712" s="488"/>
      <c r="L712" s="488"/>
      <c r="M712" s="622"/>
    </row>
    <row r="713" spans="1:13" ht="20.100000000000001" customHeight="1">
      <c r="A713" s="171"/>
      <c r="B713" s="170" t="s">
        <v>733</v>
      </c>
      <c r="C713" s="489">
        <f>(32.65+0.69+0.5)*23.5%-(4.65+0.3)*1%</f>
        <v>7.9028999999999989</v>
      </c>
      <c r="D713" s="488">
        <f>C713*1390*12</f>
        <v>131820.37199999997</v>
      </c>
      <c r="E713" s="488">
        <f>D713</f>
        <v>131820.37199999997</v>
      </c>
      <c r="F713" s="470">
        <f t="shared" si="48"/>
        <v>131820.37199999997</v>
      </c>
      <c r="G713" s="488"/>
      <c r="H713" s="798"/>
      <c r="I713" s="488"/>
      <c r="J713" s="488"/>
      <c r="K713" s="488"/>
      <c r="L713" s="488"/>
      <c r="M713" s="622"/>
    </row>
    <row r="714" spans="1:13" ht="20.100000000000001" customHeight="1">
      <c r="A714" s="171" t="s">
        <v>603</v>
      </c>
      <c r="B714" s="169" t="s">
        <v>5</v>
      </c>
      <c r="C714" s="492"/>
      <c r="D714" s="491">
        <f>(C712+C713)*1210*12*20/80</f>
        <v>157334.72699999996</v>
      </c>
      <c r="E714" s="491">
        <f>D714</f>
        <v>157334.72699999996</v>
      </c>
      <c r="F714" s="466">
        <f t="shared" si="48"/>
        <v>157334.72699999996</v>
      </c>
      <c r="G714" s="491"/>
      <c r="H714" s="799"/>
      <c r="I714" s="491"/>
      <c r="J714" s="491"/>
      <c r="K714" s="491"/>
      <c r="L714" s="491"/>
      <c r="M714" s="622"/>
    </row>
    <row r="715" spans="1:13" ht="20.100000000000001" customHeight="1">
      <c r="A715" s="171" t="s">
        <v>140</v>
      </c>
      <c r="B715" s="169" t="s">
        <v>380</v>
      </c>
      <c r="C715" s="471"/>
      <c r="D715" s="472">
        <f>D716+D722+D730</f>
        <v>642400</v>
      </c>
      <c r="E715" s="472">
        <f>E716+E722+E730</f>
        <v>551100</v>
      </c>
      <c r="F715" s="472">
        <f>F716+F722+F730</f>
        <v>551100</v>
      </c>
      <c r="G715" s="472"/>
      <c r="H715" s="775"/>
      <c r="I715" s="472"/>
      <c r="J715" s="472"/>
      <c r="K715" s="472"/>
      <c r="L715" s="472"/>
      <c r="M715" s="622"/>
    </row>
    <row r="716" spans="1:13" ht="20.100000000000001" customHeight="1">
      <c r="A716" s="171" t="s">
        <v>1227</v>
      </c>
      <c r="B716" s="169" t="s">
        <v>1508</v>
      </c>
      <c r="C716" s="471">
        <f>SUM(C717:C720)</f>
        <v>0</v>
      </c>
      <c r="D716" s="472">
        <f>SUM(D717:D721)</f>
        <v>107400</v>
      </c>
      <c r="E716" s="472">
        <f>SUM(E717:E721)</f>
        <v>71100</v>
      </c>
      <c r="F716" s="466">
        <f t="shared" ref="F716:F732" si="51">E716</f>
        <v>71100</v>
      </c>
      <c r="G716" s="472"/>
      <c r="H716" s="775"/>
      <c r="I716" s="472"/>
      <c r="J716" s="472"/>
      <c r="K716" s="472"/>
      <c r="L716" s="472"/>
      <c r="M716" s="622"/>
    </row>
    <row r="717" spans="1:13" ht="20.100000000000001" customHeight="1">
      <c r="A717" s="171"/>
      <c r="B717" s="170" t="s">
        <v>525</v>
      </c>
      <c r="C717" s="490"/>
      <c r="D717" s="488">
        <f>5000+4500+4000*7</f>
        <v>37500</v>
      </c>
      <c r="E717" s="488">
        <v>37500</v>
      </c>
      <c r="F717" s="470">
        <f t="shared" si="51"/>
        <v>37500</v>
      </c>
      <c r="G717" s="488"/>
      <c r="H717" s="798"/>
      <c r="I717" s="488"/>
      <c r="J717" s="488"/>
      <c r="K717" s="757"/>
      <c r="L717" s="757"/>
      <c r="M717" s="650"/>
    </row>
    <row r="718" spans="1:13" ht="20.100000000000001" customHeight="1">
      <c r="A718" s="173"/>
      <c r="B718" s="170" t="s">
        <v>225</v>
      </c>
      <c r="C718" s="490"/>
      <c r="D718" s="488">
        <f>9*300*5</f>
        <v>13500</v>
      </c>
      <c r="E718" s="488"/>
      <c r="F718" s="470">
        <f t="shared" si="51"/>
        <v>0</v>
      </c>
      <c r="G718" s="488"/>
      <c r="H718" s="798"/>
      <c r="I718" s="488"/>
      <c r="J718" s="488"/>
      <c r="K718" s="554"/>
      <c r="L718" s="554"/>
      <c r="M718" s="1193"/>
    </row>
    <row r="719" spans="1:13" ht="20.100000000000001" customHeight="1">
      <c r="A719" s="171"/>
      <c r="B719" s="170" t="s">
        <v>526</v>
      </c>
      <c r="C719" s="490"/>
      <c r="D719" s="488">
        <v>18000</v>
      </c>
      <c r="E719" s="488"/>
      <c r="F719" s="470">
        <f t="shared" si="51"/>
        <v>0</v>
      </c>
      <c r="G719" s="488"/>
      <c r="H719" s="798"/>
      <c r="I719" s="488"/>
      <c r="J719" s="488"/>
      <c r="K719" s="758"/>
      <c r="L719" s="758"/>
      <c r="M719" s="1166"/>
    </row>
    <row r="720" spans="1:13" ht="20.100000000000001" customHeight="1">
      <c r="A720" s="173"/>
      <c r="B720" s="210" t="s">
        <v>1056</v>
      </c>
      <c r="C720" s="490"/>
      <c r="D720" s="488">
        <f>12*1200</f>
        <v>14400</v>
      </c>
      <c r="E720" s="488">
        <f>800*12</f>
        <v>9600</v>
      </c>
      <c r="F720" s="470">
        <f t="shared" si="51"/>
        <v>9600</v>
      </c>
      <c r="G720" s="488"/>
      <c r="H720" s="798"/>
      <c r="I720" s="488"/>
      <c r="J720" s="488"/>
      <c r="K720" s="488"/>
      <c r="L720" s="488"/>
      <c r="M720" s="622"/>
    </row>
    <row r="721" spans="1:14" ht="20.100000000000001" customHeight="1">
      <c r="A721" s="173"/>
      <c r="B721" s="210" t="s">
        <v>1058</v>
      </c>
      <c r="C721" s="490"/>
      <c r="D721" s="488">
        <v>24000</v>
      </c>
      <c r="E721" s="488">
        <v>24000</v>
      </c>
      <c r="F721" s="470">
        <f t="shared" si="51"/>
        <v>24000</v>
      </c>
      <c r="G721" s="488"/>
      <c r="H721" s="798"/>
      <c r="I721" s="488"/>
      <c r="J721" s="488"/>
      <c r="K721" s="488"/>
      <c r="L721" s="488"/>
      <c r="M721" s="622"/>
    </row>
    <row r="722" spans="1:14" ht="20.100000000000001" customHeight="1">
      <c r="A722" s="171" t="s">
        <v>1228</v>
      </c>
      <c r="B722" s="217" t="s">
        <v>1509</v>
      </c>
      <c r="C722" s="492"/>
      <c r="D722" s="491">
        <f>SUM(D723:D729)</f>
        <v>365000</v>
      </c>
      <c r="E722" s="491">
        <f>SUM(E723:E729)</f>
        <v>310000</v>
      </c>
      <c r="F722" s="466">
        <f t="shared" si="51"/>
        <v>310000</v>
      </c>
      <c r="G722" s="491"/>
      <c r="H722" s="799"/>
      <c r="I722" s="491"/>
      <c r="J722" s="491"/>
      <c r="K722" s="491"/>
      <c r="L722" s="491"/>
      <c r="M722" s="622"/>
    </row>
    <row r="723" spans="1:14" ht="20.100000000000001" customHeight="1">
      <c r="A723" s="173"/>
      <c r="B723" s="210" t="s">
        <v>1059</v>
      </c>
      <c r="C723" s="490"/>
      <c r="D723" s="488">
        <v>20000</v>
      </c>
      <c r="E723" s="488">
        <v>10000</v>
      </c>
      <c r="F723" s="470">
        <f t="shared" si="51"/>
        <v>10000</v>
      </c>
      <c r="G723" s="488"/>
      <c r="H723" s="798"/>
      <c r="I723" s="488"/>
      <c r="J723" s="488"/>
      <c r="K723" s="488"/>
      <c r="L723" s="488"/>
      <c r="M723" s="635"/>
    </row>
    <row r="724" spans="1:14" ht="20.100000000000001" customHeight="1">
      <c r="A724" s="173"/>
      <c r="B724" s="210" t="s">
        <v>617</v>
      </c>
      <c r="C724" s="490"/>
      <c r="D724" s="488">
        <v>20000</v>
      </c>
      <c r="E724" s="488">
        <v>10000</v>
      </c>
      <c r="F724" s="470">
        <f t="shared" si="51"/>
        <v>10000</v>
      </c>
      <c r="G724" s="488"/>
      <c r="H724" s="798"/>
      <c r="I724" s="488"/>
      <c r="J724" s="488"/>
      <c r="K724" s="488"/>
      <c r="L724" s="488"/>
      <c r="M724" s="635"/>
    </row>
    <row r="725" spans="1:14" ht="20.100000000000001" customHeight="1">
      <c r="A725" s="173"/>
      <c r="B725" s="210" t="s">
        <v>541</v>
      </c>
      <c r="C725" s="490"/>
      <c r="D725" s="488">
        <v>45000</v>
      </c>
      <c r="E725" s="488">
        <v>10000</v>
      </c>
      <c r="F725" s="470">
        <f t="shared" si="51"/>
        <v>10000</v>
      </c>
      <c r="G725" s="488"/>
      <c r="H725" s="798"/>
      <c r="I725" s="488"/>
      <c r="J725" s="488"/>
      <c r="K725" s="488"/>
      <c r="L725" s="488"/>
      <c r="M725" s="635"/>
    </row>
    <row r="726" spans="1:14" ht="20.100000000000001" customHeight="1">
      <c r="A726" s="173"/>
      <c r="B726" s="210" t="s">
        <v>1060</v>
      </c>
      <c r="C726" s="490"/>
      <c r="D726" s="488">
        <v>90000</v>
      </c>
      <c r="E726" s="488">
        <v>90000</v>
      </c>
      <c r="F726" s="470">
        <f t="shared" si="51"/>
        <v>90000</v>
      </c>
      <c r="G726" s="488"/>
      <c r="H726" s="798"/>
      <c r="I726" s="488"/>
      <c r="J726" s="488"/>
      <c r="K726" s="488"/>
      <c r="L726" s="488"/>
      <c r="M726" s="635"/>
    </row>
    <row r="727" spans="1:14" ht="20.100000000000001" customHeight="1">
      <c r="A727" s="173"/>
      <c r="B727" s="210" t="s">
        <v>1061</v>
      </c>
      <c r="C727" s="490"/>
      <c r="D727" s="488">
        <v>25000</v>
      </c>
      <c r="E727" s="488">
        <v>25000</v>
      </c>
      <c r="F727" s="470">
        <f t="shared" si="51"/>
        <v>25000</v>
      </c>
      <c r="G727" s="488"/>
      <c r="H727" s="798"/>
      <c r="I727" s="488"/>
      <c r="J727" s="488"/>
      <c r="K727" s="488"/>
      <c r="L727" s="488"/>
      <c r="M727" s="635"/>
    </row>
    <row r="728" spans="1:14" ht="20.100000000000001" customHeight="1">
      <c r="A728" s="173"/>
      <c r="B728" s="210" t="s">
        <v>1062</v>
      </c>
      <c r="C728" s="490"/>
      <c r="D728" s="488">
        <v>15000</v>
      </c>
      <c r="E728" s="488">
        <v>15000</v>
      </c>
      <c r="F728" s="470">
        <f t="shared" si="51"/>
        <v>15000</v>
      </c>
      <c r="G728" s="488"/>
      <c r="H728" s="798"/>
      <c r="I728" s="488"/>
      <c r="J728" s="488"/>
      <c r="K728" s="488"/>
      <c r="L728" s="488"/>
      <c r="M728" s="635"/>
    </row>
    <row r="729" spans="1:14" ht="20.100000000000001" customHeight="1">
      <c r="A729" s="173"/>
      <c r="B729" s="210" t="s">
        <v>1063</v>
      </c>
      <c r="C729" s="490"/>
      <c r="D729" s="488">
        <v>150000</v>
      </c>
      <c r="E729" s="488">
        <v>150000</v>
      </c>
      <c r="F729" s="470">
        <f t="shared" si="51"/>
        <v>150000</v>
      </c>
      <c r="G729" s="488"/>
      <c r="H729" s="798"/>
      <c r="I729" s="488"/>
      <c r="J729" s="488"/>
      <c r="K729" s="488"/>
      <c r="L729" s="488"/>
      <c r="M729" s="635"/>
    </row>
    <row r="730" spans="1:14" ht="20.100000000000001" customHeight="1">
      <c r="A730" s="171" t="s">
        <v>1229</v>
      </c>
      <c r="B730" s="217" t="s">
        <v>1203</v>
      </c>
      <c r="C730" s="490"/>
      <c r="D730" s="491">
        <v>170000</v>
      </c>
      <c r="E730" s="491">
        <v>170000</v>
      </c>
      <c r="F730" s="466">
        <f t="shared" si="51"/>
        <v>170000</v>
      </c>
      <c r="G730" s="488"/>
      <c r="H730" s="798"/>
      <c r="I730" s="491"/>
      <c r="J730" s="491"/>
      <c r="K730" s="491"/>
      <c r="L730" s="491"/>
      <c r="M730" s="635"/>
    </row>
    <row r="731" spans="1:14" ht="20.100000000000001" customHeight="1">
      <c r="A731" s="176" t="s">
        <v>283</v>
      </c>
      <c r="B731" s="842" t="s">
        <v>176</v>
      </c>
      <c r="C731" s="471">
        <f t="shared" ref="C731:E731" si="52">C732+C763</f>
        <v>0</v>
      </c>
      <c r="D731" s="472">
        <f t="shared" si="52"/>
        <v>8462188.3522677422</v>
      </c>
      <c r="E731" s="472">
        <f t="shared" si="52"/>
        <v>8263388.3522677422</v>
      </c>
      <c r="F731" s="466">
        <f t="shared" si="51"/>
        <v>8263388.3522677422</v>
      </c>
      <c r="G731" s="472"/>
      <c r="H731" s="775"/>
      <c r="I731" s="472">
        <f>I732+I763</f>
        <v>8647342.6458477415</v>
      </c>
      <c r="J731" s="472">
        <f>J732+J763</f>
        <v>8514342.6458477415</v>
      </c>
      <c r="K731" s="472">
        <f>K732+K763</f>
        <v>8514342.6458477415</v>
      </c>
      <c r="L731" s="472"/>
      <c r="M731" s="630"/>
      <c r="N731" s="119"/>
    </row>
    <row r="732" spans="1:14" ht="20.100000000000001" customHeight="1">
      <c r="A732" s="843">
        <v>1</v>
      </c>
      <c r="B732" s="785" t="s">
        <v>90</v>
      </c>
      <c r="C732" s="471">
        <f t="shared" ref="C732:D732" si="53">C734+C751</f>
        <v>0</v>
      </c>
      <c r="D732" s="472">
        <f t="shared" si="53"/>
        <v>7972952.8207177427</v>
      </c>
      <c r="E732" s="472">
        <f>E734+E751</f>
        <v>7786952.8207177427</v>
      </c>
      <c r="F732" s="466">
        <f t="shared" si="51"/>
        <v>7786952.8207177427</v>
      </c>
      <c r="G732" s="472"/>
      <c r="H732" s="775"/>
      <c r="I732" s="472">
        <f>I734+I751</f>
        <v>7943321.6217477415</v>
      </c>
      <c r="J732" s="472">
        <f>J734+J751</f>
        <v>7839821.6217477415</v>
      </c>
      <c r="K732" s="472">
        <f>K734+K751</f>
        <v>7839821.6217477415</v>
      </c>
      <c r="L732" s="472"/>
      <c r="M732" s="630"/>
      <c r="N732" s="119"/>
    </row>
    <row r="733" spans="1:14" ht="20.100000000000001" customHeight="1">
      <c r="A733" s="843"/>
      <c r="B733" s="785" t="s">
        <v>1064</v>
      </c>
      <c r="C733" s="471"/>
      <c r="D733" s="472">
        <v>200000</v>
      </c>
      <c r="E733" s="472">
        <v>200000</v>
      </c>
      <c r="F733" s="466">
        <v>200000</v>
      </c>
      <c r="G733" s="472"/>
      <c r="H733" s="775"/>
      <c r="I733" s="472">
        <v>200000</v>
      </c>
      <c r="J733" s="472">
        <v>200000</v>
      </c>
      <c r="K733" s="472">
        <v>200000</v>
      </c>
      <c r="L733" s="472"/>
      <c r="M733" s="653" t="s">
        <v>1065</v>
      </c>
      <c r="N733" s="119"/>
    </row>
    <row r="734" spans="1:14" ht="20.100000000000001" customHeight="1">
      <c r="A734" s="844" t="s">
        <v>1066</v>
      </c>
      <c r="B734" s="845" t="s">
        <v>1067</v>
      </c>
      <c r="C734" s="471">
        <f t="shared" ref="C734:E734" si="54">C735+C740</f>
        <v>0</v>
      </c>
      <c r="D734" s="472">
        <f t="shared" si="54"/>
        <v>7642452.8207177427</v>
      </c>
      <c r="E734" s="472">
        <f t="shared" si="54"/>
        <v>7642452.8207177427</v>
      </c>
      <c r="F734" s="466">
        <f t="shared" ref="F734:F739" si="55">E734</f>
        <v>7642452.8207177427</v>
      </c>
      <c r="G734" s="472"/>
      <c r="H734" s="775"/>
      <c r="I734" s="472">
        <f>I735+I740</f>
        <v>7573321.6217477415</v>
      </c>
      <c r="J734" s="472">
        <f>J735+J740</f>
        <v>7573321.6217477415</v>
      </c>
      <c r="K734" s="472">
        <f>K735+K740</f>
        <v>7573321.6217477415</v>
      </c>
      <c r="L734" s="472"/>
      <c r="M734" s="630"/>
      <c r="N734" s="119"/>
    </row>
    <row r="735" spans="1:14" ht="20.100000000000001" customHeight="1">
      <c r="A735" s="844"/>
      <c r="B735" s="846" t="s">
        <v>1068</v>
      </c>
      <c r="C735" s="471">
        <f t="shared" ref="C735:E735" si="56">C736+C739</f>
        <v>0</v>
      </c>
      <c r="D735" s="472">
        <f t="shared" si="56"/>
        <v>3450012.2761499998</v>
      </c>
      <c r="E735" s="472">
        <f t="shared" si="56"/>
        <v>3450012.2761499998</v>
      </c>
      <c r="F735" s="466">
        <f t="shared" si="55"/>
        <v>3450012.2761499998</v>
      </c>
      <c r="G735" s="472"/>
      <c r="H735" s="775"/>
      <c r="I735" s="472">
        <f>I736+I739</f>
        <v>3734032.2787800003</v>
      </c>
      <c r="J735" s="472">
        <f>J736+J739</f>
        <v>3734032.2787800003</v>
      </c>
      <c r="K735" s="472">
        <f>K736+K739</f>
        <v>3734032.2787800003</v>
      </c>
      <c r="L735" s="472"/>
      <c r="M735" s="622"/>
      <c r="N735" s="119"/>
    </row>
    <row r="736" spans="1:14" ht="20.100000000000001" customHeight="1">
      <c r="A736" s="847"/>
      <c r="B736" s="845" t="s">
        <v>1069</v>
      </c>
      <c r="C736" s="471"/>
      <c r="D736" s="472">
        <f>(D737+D738)</f>
        <v>2833392.6521999999</v>
      </c>
      <c r="E736" s="472">
        <f>(E737+E738)</f>
        <v>2833392.6521999999</v>
      </c>
      <c r="F736" s="466">
        <f t="shared" si="55"/>
        <v>2833392.6521999999</v>
      </c>
      <c r="G736" s="472"/>
      <c r="H736" s="775"/>
      <c r="I736" s="472">
        <f>(I737+I738)</f>
        <v>3103881.7826400003</v>
      </c>
      <c r="J736" s="472">
        <f>(J737+J738)</f>
        <v>3103881.7826400003</v>
      </c>
      <c r="K736" s="472">
        <f>(K737+K738)</f>
        <v>3103881.7826400003</v>
      </c>
      <c r="L736" s="472"/>
      <c r="M736" s="622"/>
      <c r="N736" s="119"/>
    </row>
    <row r="737" spans="1:13" ht="20.100000000000001" customHeight="1">
      <c r="A737" s="847"/>
      <c r="B737" s="848" t="s">
        <v>618</v>
      </c>
      <c r="C737" s="489">
        <f>79.38+3.7+1.015+2.3+46.15754+4.3+9.2+3.814+0.3</f>
        <v>150.16654</v>
      </c>
      <c r="D737" s="488">
        <f>C737*1390*12</f>
        <v>2504777.8871999998</v>
      </c>
      <c r="E737" s="488">
        <f>D737</f>
        <v>2504777.8871999998</v>
      </c>
      <c r="F737" s="470">
        <f t="shared" si="55"/>
        <v>2504777.8871999998</v>
      </c>
      <c r="G737" s="488"/>
      <c r="H737" s="838">
        <f>82.29+1.1368+3.7+2.3+47.84368-1.44+0.3+9.2-0.8+4.014+4.3-0.2</f>
        <v>152.64448000000002</v>
      </c>
      <c r="I737" s="488">
        <f>H737*1490*12</f>
        <v>2729283.3024000004</v>
      </c>
      <c r="J737" s="488">
        <f t="shared" ref="J737:K739" si="57">I737</f>
        <v>2729283.3024000004</v>
      </c>
      <c r="K737" s="488">
        <f t="shared" si="57"/>
        <v>2729283.3024000004</v>
      </c>
      <c r="L737" s="488"/>
      <c r="M737" s="634"/>
    </row>
    <row r="738" spans="1:13" ht="20.100000000000001" customHeight="1">
      <c r="A738" s="173"/>
      <c r="B738" s="170" t="s">
        <v>733</v>
      </c>
      <c r="C738" s="489">
        <f>(79.38+3.7+1.015)*23.5%-(5.42+0.7)*1%</f>
        <v>19.701124999999998</v>
      </c>
      <c r="D738" s="488">
        <f>C738*1390*12</f>
        <v>328614.76499999996</v>
      </c>
      <c r="E738" s="488">
        <f>D738</f>
        <v>328614.76499999996</v>
      </c>
      <c r="F738" s="470">
        <f t="shared" si="55"/>
        <v>328614.76499999996</v>
      </c>
      <c r="G738" s="488"/>
      <c r="H738" s="838">
        <f>(82.29+1.1368+3.7+2.3)*23.5%-(5.76+0.7)*1%</f>
        <v>20.950697999999999</v>
      </c>
      <c r="I738" s="488">
        <f>H738*1490*12</f>
        <v>374598.48024</v>
      </c>
      <c r="J738" s="488">
        <f t="shared" si="57"/>
        <v>374598.48024</v>
      </c>
      <c r="K738" s="488">
        <f t="shared" si="57"/>
        <v>374598.48024</v>
      </c>
      <c r="L738" s="488"/>
      <c r="M738" s="622"/>
    </row>
    <row r="739" spans="1:13" ht="20.100000000000001" customHeight="1">
      <c r="A739" s="173"/>
      <c r="B739" s="169" t="s">
        <v>1070</v>
      </c>
      <c r="C739" s="492"/>
      <c r="D739" s="491">
        <f>(C737+C738)*1210*20/80*12</f>
        <v>616619.62394999992</v>
      </c>
      <c r="E739" s="491">
        <f>D739</f>
        <v>616619.62394999992</v>
      </c>
      <c r="F739" s="466">
        <f t="shared" si="55"/>
        <v>616619.62394999992</v>
      </c>
      <c r="G739" s="491"/>
      <c r="H739" s="849"/>
      <c r="I739" s="491">
        <f>(H737+H738)*1210*20/80*12</f>
        <v>630150.49613999994</v>
      </c>
      <c r="J739" s="491">
        <f t="shared" si="57"/>
        <v>630150.49613999994</v>
      </c>
      <c r="K739" s="491">
        <f t="shared" si="57"/>
        <v>630150.49613999994</v>
      </c>
      <c r="L739" s="491"/>
      <c r="M739" s="622"/>
    </row>
    <row r="740" spans="1:13" ht="20.100000000000001" customHeight="1">
      <c r="A740" s="173"/>
      <c r="B740" s="214" t="s">
        <v>1071</v>
      </c>
      <c r="C740" s="492">
        <f t="shared" ref="C740" si="58">C741+C750+C744</f>
        <v>0</v>
      </c>
      <c r="D740" s="491">
        <f>D741+D750+D744+D747</f>
        <v>4192440.5445677424</v>
      </c>
      <c r="E740" s="491">
        <f>E741+E750+E744+E747</f>
        <v>4192440.5445677424</v>
      </c>
      <c r="F740" s="491">
        <f>F741+F750+F744+F747</f>
        <v>4192440.5445677424</v>
      </c>
      <c r="G740" s="491"/>
      <c r="H740" s="849"/>
      <c r="I740" s="491">
        <f>I741+I744+I750</f>
        <v>3839289.3429677417</v>
      </c>
      <c r="J740" s="491">
        <f>J741+J744+J750</f>
        <v>3839289.3429677417</v>
      </c>
      <c r="K740" s="491">
        <f>K741+K744+K750</f>
        <v>3839289.3429677417</v>
      </c>
      <c r="L740" s="491"/>
      <c r="M740" s="622"/>
    </row>
    <row r="741" spans="1:13" ht="20.100000000000001" customHeight="1">
      <c r="A741" s="173"/>
      <c r="B741" s="217" t="s">
        <v>1510</v>
      </c>
      <c r="C741" s="492"/>
      <c r="D741" s="491">
        <f>D742+D743</f>
        <v>2741797.6848000004</v>
      </c>
      <c r="E741" s="491">
        <f>E742+E743</f>
        <v>2741797.6848000004</v>
      </c>
      <c r="F741" s="466">
        <f t="shared" ref="F741:F825" si="59">E741</f>
        <v>2741797.6848000004</v>
      </c>
      <c r="G741" s="491"/>
      <c r="H741" s="849"/>
      <c r="I741" s="491">
        <f>I742+I743</f>
        <v>3535989.03</v>
      </c>
      <c r="J741" s="491">
        <f>J742+J743</f>
        <v>3535989.03</v>
      </c>
      <c r="K741" s="491">
        <f>K742+K743</f>
        <v>3535989.03</v>
      </c>
      <c r="L741" s="491"/>
      <c r="M741" s="622"/>
    </row>
    <row r="742" spans="1:13" ht="20.100000000000001" customHeight="1">
      <c r="A742" s="173"/>
      <c r="B742" s="210" t="s">
        <v>1073</v>
      </c>
      <c r="C742" s="505">
        <f>94.15+1.036+0.15+1.2+2.1+38.5544+0.5+4</f>
        <v>141.69040000000001</v>
      </c>
      <c r="D742" s="488">
        <f>C742*1390*12</f>
        <v>2363395.8720000004</v>
      </c>
      <c r="E742" s="488">
        <f>D742</f>
        <v>2363395.8720000004</v>
      </c>
      <c r="F742" s="470">
        <f t="shared" si="59"/>
        <v>2363395.8720000004</v>
      </c>
      <c r="G742" s="488"/>
      <c r="H742" s="838">
        <f>114.16+1.07+1.2+2.9+46.5712+0.5+4</f>
        <v>170.40119999999999</v>
      </c>
      <c r="I742" s="488">
        <f>H742*1490*12</f>
        <v>3046773.4559999998</v>
      </c>
      <c r="J742" s="488">
        <f>I742</f>
        <v>3046773.4559999998</v>
      </c>
      <c r="K742" s="488">
        <f>J742</f>
        <v>3046773.4559999998</v>
      </c>
      <c r="L742" s="488"/>
      <c r="M742" s="622"/>
    </row>
    <row r="743" spans="1:13" ht="20.100000000000001" customHeight="1">
      <c r="A743" s="173"/>
      <c r="B743" s="170" t="s">
        <v>733</v>
      </c>
      <c r="C743" s="505">
        <f>(94.15+1.036+0.15+1.2)*23.5%</f>
        <v>22.685960000000001</v>
      </c>
      <c r="D743" s="488">
        <f>C743*1390*12</f>
        <v>378401.81280000001</v>
      </c>
      <c r="E743" s="488">
        <f>D743</f>
        <v>378401.81280000001</v>
      </c>
      <c r="F743" s="470">
        <f t="shared" si="59"/>
        <v>378401.81280000001</v>
      </c>
      <c r="G743" s="488"/>
      <c r="H743" s="838">
        <f>(114.16+1.07+1.2)*23.5%</f>
        <v>27.361049999999995</v>
      </c>
      <c r="I743" s="488">
        <f>H743*1490*12</f>
        <v>489215.57399999991</v>
      </c>
      <c r="J743" s="488">
        <f>I743</f>
        <v>489215.57399999991</v>
      </c>
      <c r="K743" s="488">
        <f>J743</f>
        <v>489215.57399999991</v>
      </c>
      <c r="L743" s="488"/>
      <c r="M743" s="622"/>
    </row>
    <row r="744" spans="1:13" ht="20.100000000000001" customHeight="1">
      <c r="A744" s="173"/>
      <c r="B744" s="169" t="s">
        <v>1511</v>
      </c>
      <c r="C744" s="492"/>
      <c r="D744" s="464">
        <f>D745+D746</f>
        <v>89855.160000000018</v>
      </c>
      <c r="E744" s="464">
        <f>E745+E746</f>
        <v>89855.160000000018</v>
      </c>
      <c r="F744" s="466">
        <f t="shared" si="59"/>
        <v>89855.160000000018</v>
      </c>
      <c r="G744" s="464"/>
      <c r="H744" s="799"/>
      <c r="I744" s="464">
        <f>I745+I746</f>
        <v>82144.296000000002</v>
      </c>
      <c r="J744" s="464">
        <f>J745+J746</f>
        <v>82144.296000000002</v>
      </c>
      <c r="K744" s="464">
        <f>K745+K746</f>
        <v>82144.296000000002</v>
      </c>
      <c r="L744" s="464"/>
      <c r="M744" s="622"/>
    </row>
    <row r="745" spans="1:13" ht="20.100000000000001" customHeight="1">
      <c r="A745" s="173"/>
      <c r="B745" s="210" t="s">
        <v>324</v>
      </c>
      <c r="C745" s="489">
        <f>2.34+1.86+0.2</f>
        <v>4.4000000000000004</v>
      </c>
      <c r="D745" s="488">
        <f>C745*1390*12</f>
        <v>73392.000000000015</v>
      </c>
      <c r="E745" s="488">
        <f t="shared" ref="E745:E750" si="60">D745</f>
        <v>73392.000000000015</v>
      </c>
      <c r="F745" s="470">
        <f t="shared" si="59"/>
        <v>73392.000000000015</v>
      </c>
      <c r="G745" s="488"/>
      <c r="H745" s="838">
        <f>1.86+1.86</f>
        <v>3.72</v>
      </c>
      <c r="I745" s="488">
        <f>H745*1490*12</f>
        <v>66513.600000000006</v>
      </c>
      <c r="J745" s="488">
        <f>I745</f>
        <v>66513.600000000006</v>
      </c>
      <c r="K745" s="488">
        <f>J745</f>
        <v>66513.600000000006</v>
      </c>
      <c r="L745" s="488"/>
      <c r="M745" s="622"/>
    </row>
    <row r="746" spans="1:13" ht="20.100000000000001" customHeight="1">
      <c r="A746" s="173"/>
      <c r="B746" s="170" t="s">
        <v>733</v>
      </c>
      <c r="C746" s="489">
        <f>(2.34+1.86)*23.5%</f>
        <v>0.98699999999999999</v>
      </c>
      <c r="D746" s="488">
        <f>C746*1390*12</f>
        <v>16463.16</v>
      </c>
      <c r="E746" s="488">
        <f t="shared" si="60"/>
        <v>16463.16</v>
      </c>
      <c r="F746" s="470">
        <f t="shared" si="59"/>
        <v>16463.16</v>
      </c>
      <c r="G746" s="488"/>
      <c r="H746" s="838">
        <f>(1.86+1.86)*23.5%</f>
        <v>0.87419999999999998</v>
      </c>
      <c r="I746" s="488">
        <f>H746*1490*12</f>
        <v>15630.696</v>
      </c>
      <c r="J746" s="488">
        <f>I746</f>
        <v>15630.696</v>
      </c>
      <c r="K746" s="488">
        <f>J746</f>
        <v>15630.696</v>
      </c>
      <c r="L746" s="488"/>
      <c r="M746" s="622"/>
    </row>
    <row r="747" spans="1:13" ht="20.100000000000001" customHeight="1">
      <c r="A747" s="173"/>
      <c r="B747" s="169" t="s">
        <v>1165</v>
      </c>
      <c r="C747" s="489"/>
      <c r="D747" s="491">
        <f>D748+D749</f>
        <v>1102983.348</v>
      </c>
      <c r="E747" s="491">
        <f t="shared" si="60"/>
        <v>1102983.348</v>
      </c>
      <c r="F747" s="466">
        <f t="shared" si="59"/>
        <v>1102983.348</v>
      </c>
      <c r="G747" s="488"/>
      <c r="H747" s="798"/>
      <c r="I747" s="488"/>
      <c r="J747" s="488"/>
      <c r="K747" s="488"/>
      <c r="L747" s="488"/>
      <c r="M747" s="622"/>
    </row>
    <row r="748" spans="1:13" ht="20.100000000000001" customHeight="1">
      <c r="A748" s="173"/>
      <c r="B748" s="170" t="s">
        <v>1166</v>
      </c>
      <c r="C748" s="487">
        <f>45.26+1.8+8.43</f>
        <v>55.489999999999995</v>
      </c>
      <c r="D748" s="461">
        <f>C748*1390*12</f>
        <v>925573.2</v>
      </c>
      <c r="E748" s="461">
        <f t="shared" si="60"/>
        <v>925573.2</v>
      </c>
      <c r="F748" s="470">
        <f>E748</f>
        <v>925573.2</v>
      </c>
      <c r="G748" s="488"/>
      <c r="H748" s="798"/>
      <c r="I748" s="488"/>
      <c r="J748" s="488"/>
      <c r="K748" s="488"/>
      <c r="L748" s="488"/>
      <c r="M748" s="622"/>
    </row>
    <row r="749" spans="1:13" ht="20.100000000000001" customHeight="1">
      <c r="A749" s="173"/>
      <c r="B749" s="170" t="s">
        <v>1167</v>
      </c>
      <c r="C749" s="487">
        <f>45.26*23.5%</f>
        <v>10.636099999999999</v>
      </c>
      <c r="D749" s="461">
        <f>C749*1390*12</f>
        <v>177410.14799999999</v>
      </c>
      <c r="E749" s="461">
        <f t="shared" si="60"/>
        <v>177410.14799999999</v>
      </c>
      <c r="F749" s="470">
        <f>E749</f>
        <v>177410.14799999999</v>
      </c>
      <c r="G749" s="488"/>
      <c r="H749" s="798"/>
      <c r="I749" s="488"/>
      <c r="J749" s="488"/>
      <c r="K749" s="488"/>
      <c r="L749" s="488"/>
      <c r="M749" s="622"/>
    </row>
    <row r="750" spans="1:13" ht="20.100000000000001" customHeight="1">
      <c r="A750" s="173"/>
      <c r="B750" s="169" t="s">
        <v>1075</v>
      </c>
      <c r="C750" s="492"/>
      <c r="D750" s="491">
        <f>(C742+C743+C745+C746+C748+C749)*1210*7/93*12</f>
        <v>257804.3517677419</v>
      </c>
      <c r="E750" s="491">
        <f t="shared" si="60"/>
        <v>257804.3517677419</v>
      </c>
      <c r="F750" s="466">
        <f t="shared" si="59"/>
        <v>257804.3517677419</v>
      </c>
      <c r="G750" s="491"/>
      <c r="H750" s="799"/>
      <c r="I750" s="491">
        <f>(H742+H743+H745+H746+H748+H749)*1210*7/93*12</f>
        <v>221156.01696774189</v>
      </c>
      <c r="J750" s="491">
        <f>I750</f>
        <v>221156.01696774189</v>
      </c>
      <c r="K750" s="491">
        <f>J750</f>
        <v>221156.01696774189</v>
      </c>
      <c r="L750" s="491"/>
      <c r="M750" s="622"/>
    </row>
    <row r="751" spans="1:13" ht="20.100000000000001" customHeight="1">
      <c r="A751" s="171" t="s">
        <v>1076</v>
      </c>
      <c r="B751" s="169" t="s">
        <v>380</v>
      </c>
      <c r="C751" s="471">
        <f t="shared" ref="C751:E751" si="61">SUM(C752:C762)</f>
        <v>0</v>
      </c>
      <c r="D751" s="472">
        <f t="shared" si="61"/>
        <v>330500</v>
      </c>
      <c r="E751" s="472">
        <f t="shared" si="61"/>
        <v>144500</v>
      </c>
      <c r="F751" s="466">
        <f t="shared" si="59"/>
        <v>144500</v>
      </c>
      <c r="G751" s="472"/>
      <c r="H751" s="775"/>
      <c r="I751" s="472">
        <f>SUM(I752:I762)</f>
        <v>370000</v>
      </c>
      <c r="J751" s="472">
        <f>SUM(J752:J762)</f>
        <v>266500</v>
      </c>
      <c r="K751" s="472">
        <f>SUM(K752:K762)</f>
        <v>266500</v>
      </c>
      <c r="L751" s="472"/>
      <c r="M751" s="630"/>
    </row>
    <row r="752" spans="1:13" ht="20.100000000000001" customHeight="1">
      <c r="A752" s="173"/>
      <c r="B752" s="170" t="s">
        <v>1512</v>
      </c>
      <c r="C752" s="490"/>
      <c r="D752" s="488">
        <v>93500</v>
      </c>
      <c r="E752" s="488">
        <v>93500</v>
      </c>
      <c r="F752" s="470">
        <f t="shared" si="59"/>
        <v>93500</v>
      </c>
      <c r="G752" s="488"/>
      <c r="H752" s="798"/>
      <c r="I752" s="488">
        <f>6000+5500+21*5000</f>
        <v>116500</v>
      </c>
      <c r="J752" s="488">
        <v>116500</v>
      </c>
      <c r="K752" s="757">
        <f>J752</f>
        <v>116500</v>
      </c>
      <c r="L752" s="757"/>
      <c r="M752" s="650"/>
    </row>
    <row r="753" spans="1:14" ht="20.100000000000001" customHeight="1">
      <c r="A753" s="173"/>
      <c r="B753" s="170" t="s">
        <v>1513</v>
      </c>
      <c r="C753" s="490"/>
      <c r="D753" s="488">
        <v>34500</v>
      </c>
      <c r="E753" s="488"/>
      <c r="F753" s="470">
        <f t="shared" si="59"/>
        <v>0</v>
      </c>
      <c r="G753" s="488"/>
      <c r="H753" s="798"/>
      <c r="I753" s="488">
        <f>23*500*5</f>
        <v>57500</v>
      </c>
      <c r="J753" s="488"/>
      <c r="K753" s="488"/>
      <c r="L753" s="488"/>
      <c r="M753" s="1193" t="s">
        <v>1008</v>
      </c>
    </row>
    <row r="754" spans="1:14" ht="20.100000000000001" customHeight="1">
      <c r="A754" s="173"/>
      <c r="B754" s="170" t="s">
        <v>1077</v>
      </c>
      <c r="C754" s="490"/>
      <c r="D754" s="488">
        <f>46000</f>
        <v>46000</v>
      </c>
      <c r="E754" s="488"/>
      <c r="F754" s="470"/>
      <c r="G754" s="488"/>
      <c r="H754" s="798"/>
      <c r="I754" s="488">
        <f>23*2000</f>
        <v>46000</v>
      </c>
      <c r="J754" s="488"/>
      <c r="K754" s="758"/>
      <c r="L754" s="758"/>
      <c r="M754" s="1166"/>
    </row>
    <row r="755" spans="1:14" ht="20.100000000000001" customHeight="1">
      <c r="A755" s="173"/>
      <c r="B755" s="170" t="s">
        <v>1078</v>
      </c>
      <c r="C755" s="490"/>
      <c r="D755" s="488">
        <v>36000</v>
      </c>
      <c r="E755" s="488">
        <v>36000</v>
      </c>
      <c r="F755" s="470">
        <f t="shared" si="59"/>
        <v>36000</v>
      </c>
      <c r="G755" s="488"/>
      <c r="H755" s="798"/>
      <c r="I755" s="488">
        <v>36000</v>
      </c>
      <c r="J755" s="488">
        <v>36000</v>
      </c>
      <c r="K755" s="488">
        <f>J755</f>
        <v>36000</v>
      </c>
      <c r="L755" s="488"/>
      <c r="M755" s="358"/>
    </row>
    <row r="756" spans="1:14" ht="20.100000000000001" customHeight="1">
      <c r="A756" s="173"/>
      <c r="B756" s="170" t="s">
        <v>1514</v>
      </c>
      <c r="C756" s="490"/>
      <c r="D756" s="488"/>
      <c r="E756" s="488"/>
      <c r="F756" s="470"/>
      <c r="G756" s="488"/>
      <c r="H756" s="798"/>
      <c r="I756" s="488">
        <v>50000</v>
      </c>
      <c r="J756" s="488">
        <v>50000</v>
      </c>
      <c r="K756" s="488">
        <v>50000</v>
      </c>
      <c r="L756" s="488"/>
      <c r="M756" s="358"/>
    </row>
    <row r="757" spans="1:14" ht="20.100000000000001" customHeight="1">
      <c r="A757" s="173"/>
      <c r="B757" s="170" t="s">
        <v>1515</v>
      </c>
      <c r="C757" s="490"/>
      <c r="D757" s="488"/>
      <c r="E757" s="488"/>
      <c r="F757" s="470"/>
      <c r="G757" s="488"/>
      <c r="H757" s="798"/>
      <c r="I757" s="488">
        <v>26000</v>
      </c>
      <c r="J757" s="488">
        <v>26000</v>
      </c>
      <c r="K757" s="488">
        <v>26000</v>
      </c>
      <c r="L757" s="488"/>
      <c r="M757" s="358"/>
    </row>
    <row r="758" spans="1:14" ht="20.100000000000001" customHeight="1">
      <c r="A758" s="173"/>
      <c r="B758" s="170" t="s">
        <v>1516</v>
      </c>
      <c r="C758" s="490"/>
      <c r="D758" s="488"/>
      <c r="E758" s="488"/>
      <c r="F758" s="470"/>
      <c r="G758" s="488"/>
      <c r="H758" s="798"/>
      <c r="I758" s="488">
        <v>38000</v>
      </c>
      <c r="J758" s="488">
        <v>38000</v>
      </c>
      <c r="K758" s="488">
        <v>38000</v>
      </c>
      <c r="L758" s="488"/>
      <c r="M758" s="358"/>
    </row>
    <row r="759" spans="1:14" ht="20.100000000000001" customHeight="1">
      <c r="A759" s="173"/>
      <c r="B759" s="170" t="s">
        <v>1079</v>
      </c>
      <c r="C759" s="490"/>
      <c r="D759" s="488">
        <f>8500*3+15000</f>
        <v>40500</v>
      </c>
      <c r="E759" s="488">
        <v>15000</v>
      </c>
      <c r="F759" s="470">
        <f t="shared" si="59"/>
        <v>15000</v>
      </c>
      <c r="G759" s="488"/>
      <c r="H759" s="798"/>
      <c r="I759" s="488"/>
      <c r="J759" s="488"/>
      <c r="K759" s="488"/>
      <c r="L759" s="488"/>
      <c r="M759" s="358"/>
    </row>
    <row r="760" spans="1:14" ht="20.100000000000001" customHeight="1">
      <c r="A760" s="173"/>
      <c r="B760" s="170" t="s">
        <v>1081</v>
      </c>
      <c r="C760" s="490"/>
      <c r="D760" s="488">
        <v>30000</v>
      </c>
      <c r="E760" s="488"/>
      <c r="F760" s="470">
        <f t="shared" si="59"/>
        <v>0</v>
      </c>
      <c r="G760" s="488"/>
      <c r="H760" s="798"/>
      <c r="I760" s="488"/>
      <c r="J760" s="488"/>
      <c r="K760" s="488"/>
      <c r="L760" s="488"/>
      <c r="M760" s="1182"/>
    </row>
    <row r="761" spans="1:14" ht="20.100000000000001" customHeight="1">
      <c r="A761" s="173"/>
      <c r="B761" s="170" t="s">
        <v>1082</v>
      </c>
      <c r="C761" s="490"/>
      <c r="D761" s="488">
        <f>12500*2</f>
        <v>25000</v>
      </c>
      <c r="E761" s="488"/>
      <c r="F761" s="470">
        <f t="shared" si="59"/>
        <v>0</v>
      </c>
      <c r="G761" s="488"/>
      <c r="H761" s="798"/>
      <c r="I761" s="488"/>
      <c r="J761" s="488"/>
      <c r="K761" s="488"/>
      <c r="L761" s="488"/>
      <c r="M761" s="1194"/>
    </row>
    <row r="762" spans="1:14" ht="20.100000000000001" customHeight="1">
      <c r="A762" s="171"/>
      <c r="B762" s="170" t="s">
        <v>1083</v>
      </c>
      <c r="C762" s="492"/>
      <c r="D762" s="488">
        <v>25000</v>
      </c>
      <c r="E762" s="491"/>
      <c r="F762" s="470">
        <f t="shared" si="59"/>
        <v>0</v>
      </c>
      <c r="G762" s="491"/>
      <c r="H762" s="799"/>
      <c r="I762" s="491"/>
      <c r="J762" s="491"/>
      <c r="K762" s="530"/>
      <c r="L762" s="530"/>
      <c r="M762" s="1183"/>
    </row>
    <row r="763" spans="1:14" ht="20.100000000000001" customHeight="1">
      <c r="A763" s="176">
        <v>2</v>
      </c>
      <c r="B763" s="785" t="s">
        <v>1085</v>
      </c>
      <c r="C763" s="471">
        <f t="shared" ref="C763:E763" si="62">C765+C768+C769</f>
        <v>0</v>
      </c>
      <c r="D763" s="472">
        <f t="shared" si="62"/>
        <v>489235.53154999996</v>
      </c>
      <c r="E763" s="472">
        <f t="shared" si="62"/>
        <v>476435.53154999996</v>
      </c>
      <c r="F763" s="466">
        <f t="shared" si="59"/>
        <v>476435.53154999996</v>
      </c>
      <c r="G763" s="472"/>
      <c r="H763" s="775"/>
      <c r="I763" s="472">
        <f>I765+I768+I769</f>
        <v>704021.02410000004</v>
      </c>
      <c r="J763" s="472">
        <f>J765+J768+J769</f>
        <v>674521.02410000004</v>
      </c>
      <c r="K763" s="472">
        <f>K765+K768+K769</f>
        <v>674521.02410000004</v>
      </c>
      <c r="L763" s="472"/>
      <c r="M763" s="630"/>
      <c r="N763" s="119"/>
    </row>
    <row r="764" spans="1:14" ht="20.100000000000001" customHeight="1">
      <c r="A764" s="173"/>
      <c r="B764" s="169" t="s">
        <v>11</v>
      </c>
      <c r="C764" s="471"/>
      <c r="D764" s="472">
        <f>D765+D768+D769</f>
        <v>489235.53154999996</v>
      </c>
      <c r="E764" s="472">
        <f>E765+E768+E769</f>
        <v>476435.53154999996</v>
      </c>
      <c r="F764" s="466">
        <f t="shared" si="59"/>
        <v>476435.53154999996</v>
      </c>
      <c r="G764" s="472"/>
      <c r="H764" s="775"/>
      <c r="I764" s="472">
        <f>I765+I768+I769</f>
        <v>704021.02410000004</v>
      </c>
      <c r="J764" s="472"/>
      <c r="K764" s="472"/>
      <c r="L764" s="472"/>
      <c r="M764" s="622"/>
    </row>
    <row r="765" spans="1:14" ht="20.100000000000001" customHeight="1">
      <c r="A765" s="171"/>
      <c r="B765" s="169" t="s">
        <v>377</v>
      </c>
      <c r="C765" s="471"/>
      <c r="D765" s="472">
        <f>(D766+D767)</f>
        <v>316136.12339999998</v>
      </c>
      <c r="E765" s="472">
        <f>(E766+E767)</f>
        <v>316136.12339999998</v>
      </c>
      <c r="F765" s="466">
        <f t="shared" si="59"/>
        <v>316136.12339999998</v>
      </c>
      <c r="G765" s="472"/>
      <c r="H765" s="775"/>
      <c r="I765" s="472">
        <f>(I766+I767)</f>
        <v>463018.87080000003</v>
      </c>
      <c r="J765" s="472">
        <f>(J766+J767)</f>
        <v>463018.87080000003</v>
      </c>
      <c r="K765" s="472">
        <f>(K766+K767)</f>
        <v>463018.87080000003</v>
      </c>
      <c r="L765" s="472"/>
      <c r="M765" s="622"/>
    </row>
    <row r="766" spans="1:14" ht="20.100000000000001" customHeight="1">
      <c r="A766" s="171"/>
      <c r="B766" s="170" t="s">
        <v>569</v>
      </c>
      <c r="C766" s="505">
        <f>12.18+0.2+0.2+0.4+2.716+0.3</f>
        <v>15.995999999999999</v>
      </c>
      <c r="D766" s="488">
        <f>C766*1390*12</f>
        <v>266813.27999999997</v>
      </c>
      <c r="E766" s="488">
        <f>D766</f>
        <v>266813.27999999997</v>
      </c>
      <c r="F766" s="470">
        <f t="shared" si="59"/>
        <v>266813.27999999997</v>
      </c>
      <c r="G766" s="488"/>
      <c r="H766" s="795">
        <f>17.44+0.446+0.2+2.795+0.3+0.5</f>
        <v>21.681000000000001</v>
      </c>
      <c r="I766" s="488">
        <f>H766*1490*12</f>
        <v>387656.28</v>
      </c>
      <c r="J766" s="488">
        <f t="shared" ref="J766:K768" si="63">I766</f>
        <v>387656.28</v>
      </c>
      <c r="K766" s="488">
        <f t="shared" si="63"/>
        <v>387656.28</v>
      </c>
      <c r="L766" s="488"/>
      <c r="M766" s="622"/>
    </row>
    <row r="767" spans="1:14" ht="20.100000000000001" customHeight="1">
      <c r="A767" s="171"/>
      <c r="B767" s="170" t="s">
        <v>175</v>
      </c>
      <c r="C767" s="505">
        <f>(12.18+0.203+0.2)*23.5%</f>
        <v>2.9570049999999997</v>
      </c>
      <c r="D767" s="488">
        <f>C767*1390*12</f>
        <v>49322.843399999998</v>
      </c>
      <c r="E767" s="488">
        <f>D767</f>
        <v>49322.843399999998</v>
      </c>
      <c r="F767" s="470">
        <f t="shared" si="59"/>
        <v>49322.843399999998</v>
      </c>
      <c r="G767" s="488"/>
      <c r="H767" s="795">
        <f>(17.44+0.446+0.2)*23.5%-(3.33+0.2)*1%</f>
        <v>4.2149099999999997</v>
      </c>
      <c r="I767" s="488">
        <f>H767*1490*12</f>
        <v>75362.590799999991</v>
      </c>
      <c r="J767" s="488">
        <f t="shared" si="63"/>
        <v>75362.590799999991</v>
      </c>
      <c r="K767" s="488">
        <f t="shared" si="63"/>
        <v>75362.590799999991</v>
      </c>
      <c r="L767" s="488"/>
      <c r="M767" s="622"/>
    </row>
    <row r="768" spans="1:14" ht="20.100000000000001" customHeight="1">
      <c r="A768" s="171"/>
      <c r="B768" s="169" t="s">
        <v>689</v>
      </c>
      <c r="C768" s="492"/>
      <c r="D768" s="491">
        <f>(C766+C767)*1210*20/80*12</f>
        <v>68799.408149999988</v>
      </c>
      <c r="E768" s="491">
        <f>D768</f>
        <v>68799.408149999988</v>
      </c>
      <c r="F768" s="466">
        <f t="shared" si="59"/>
        <v>68799.408149999988</v>
      </c>
      <c r="G768" s="491"/>
      <c r="H768" s="799"/>
      <c r="I768" s="491">
        <f>(H766+H767)*1210*20/80*12</f>
        <v>94002.153300000005</v>
      </c>
      <c r="J768" s="491">
        <f t="shared" si="63"/>
        <v>94002.153300000005</v>
      </c>
      <c r="K768" s="491">
        <f t="shared" si="63"/>
        <v>94002.153300000005</v>
      </c>
      <c r="L768" s="491"/>
      <c r="M768" s="622"/>
    </row>
    <row r="769" spans="1:14" ht="20.100000000000001" customHeight="1">
      <c r="A769" s="173"/>
      <c r="B769" s="169" t="s">
        <v>380</v>
      </c>
      <c r="C769" s="492"/>
      <c r="D769" s="472">
        <f>SUM(D770:D775)</f>
        <v>104300</v>
      </c>
      <c r="E769" s="472">
        <f>SUM(E770:E775)</f>
        <v>91500</v>
      </c>
      <c r="F769" s="466">
        <f t="shared" si="59"/>
        <v>91500</v>
      </c>
      <c r="G769" s="472"/>
      <c r="H769" s="775"/>
      <c r="I769" s="472">
        <f>SUM(I770:I775)</f>
        <v>147000</v>
      </c>
      <c r="J769" s="472">
        <f>SUM(J770:J775)</f>
        <v>117500</v>
      </c>
      <c r="K769" s="472">
        <f>SUM(K770:K775)</f>
        <v>117500</v>
      </c>
      <c r="L769" s="472"/>
      <c r="M769" s="622"/>
    </row>
    <row r="770" spans="1:14" ht="20.100000000000001" customHeight="1">
      <c r="A770" s="173"/>
      <c r="B770" s="170" t="s">
        <v>1517</v>
      </c>
      <c r="C770" s="490"/>
      <c r="D770" s="488">
        <v>16500</v>
      </c>
      <c r="E770" s="488">
        <v>16500</v>
      </c>
      <c r="F770" s="470">
        <f t="shared" si="59"/>
        <v>16500</v>
      </c>
      <c r="G770" s="488"/>
      <c r="H770" s="798"/>
      <c r="I770" s="488">
        <f>6000+4*5000</f>
        <v>26000</v>
      </c>
      <c r="J770" s="488">
        <f>6000+4*5000</f>
        <v>26000</v>
      </c>
      <c r="K770" s="488">
        <f>6000+4*5000</f>
        <v>26000</v>
      </c>
      <c r="L770" s="488"/>
      <c r="M770" s="622"/>
    </row>
    <row r="771" spans="1:14" ht="20.100000000000001" customHeight="1">
      <c r="A771" s="171"/>
      <c r="B771" s="170" t="s">
        <v>257</v>
      </c>
      <c r="C771" s="490"/>
      <c r="D771" s="488">
        <v>3000</v>
      </c>
      <c r="E771" s="488">
        <v>3000</v>
      </c>
      <c r="F771" s="470">
        <f t="shared" si="59"/>
        <v>3000</v>
      </c>
      <c r="G771" s="488"/>
      <c r="H771" s="798"/>
      <c r="I771" s="488">
        <v>3000</v>
      </c>
      <c r="J771" s="488">
        <v>3000</v>
      </c>
      <c r="K771" s="488">
        <v>3000</v>
      </c>
      <c r="L771" s="488"/>
      <c r="M771" s="1184"/>
    </row>
    <row r="772" spans="1:14" ht="20.100000000000001" customHeight="1">
      <c r="A772" s="171"/>
      <c r="B772" s="170" t="s">
        <v>1518</v>
      </c>
      <c r="C772" s="490"/>
      <c r="D772" s="488">
        <f>4*300*5</f>
        <v>6000</v>
      </c>
      <c r="E772" s="488">
        <v>6000</v>
      </c>
      <c r="F772" s="470">
        <f t="shared" si="59"/>
        <v>6000</v>
      </c>
      <c r="G772" s="488"/>
      <c r="H772" s="798"/>
      <c r="I772" s="488">
        <f>500*5*5</f>
        <v>12500</v>
      </c>
      <c r="J772" s="488">
        <f>500*5*5</f>
        <v>12500</v>
      </c>
      <c r="K772" s="488">
        <f>500*5*5</f>
        <v>12500</v>
      </c>
      <c r="L772" s="488"/>
      <c r="M772" s="1184"/>
    </row>
    <row r="773" spans="1:14" ht="20.100000000000001" customHeight="1">
      <c r="A773" s="171"/>
      <c r="B773" s="170" t="s">
        <v>506</v>
      </c>
      <c r="C773" s="490"/>
      <c r="D773" s="488">
        <v>8000</v>
      </c>
      <c r="E773" s="488">
        <v>8000</v>
      </c>
      <c r="F773" s="470">
        <f t="shared" si="59"/>
        <v>8000</v>
      </c>
      <c r="G773" s="488"/>
      <c r="H773" s="798"/>
      <c r="I773" s="488">
        <v>8000</v>
      </c>
      <c r="J773" s="488">
        <v>8000</v>
      </c>
      <c r="K773" s="488">
        <v>8000</v>
      </c>
      <c r="L773" s="488"/>
      <c r="M773" s="1184"/>
    </row>
    <row r="774" spans="1:14" ht="20.100000000000001" customHeight="1">
      <c r="A774" s="171"/>
      <c r="B774" s="170" t="s">
        <v>538</v>
      </c>
      <c r="C774" s="490"/>
      <c r="D774" s="488">
        <v>18000</v>
      </c>
      <c r="E774" s="488">
        <v>18000</v>
      </c>
      <c r="F774" s="470">
        <f t="shared" si="59"/>
        <v>18000</v>
      </c>
      <c r="G774" s="488"/>
      <c r="H774" s="798"/>
      <c r="I774" s="488">
        <v>18000</v>
      </c>
      <c r="J774" s="488">
        <v>18000</v>
      </c>
      <c r="K774" s="488">
        <v>18000</v>
      </c>
      <c r="L774" s="488"/>
      <c r="M774" s="622"/>
    </row>
    <row r="775" spans="1:14" ht="20.100000000000001" customHeight="1">
      <c r="A775" s="173"/>
      <c r="B775" s="170" t="s">
        <v>1519</v>
      </c>
      <c r="C775" s="490"/>
      <c r="D775" s="488">
        <v>52800</v>
      </c>
      <c r="E775" s="488">
        <v>40000</v>
      </c>
      <c r="F775" s="470">
        <f t="shared" si="59"/>
        <v>40000</v>
      </c>
      <c r="G775" s="488"/>
      <c r="H775" s="798"/>
      <c r="I775" s="488">
        <f>10000+18000+10000+31500+10000</f>
        <v>79500</v>
      </c>
      <c r="J775" s="488">
        <v>50000</v>
      </c>
      <c r="K775" s="488">
        <v>50000</v>
      </c>
      <c r="L775" s="488"/>
      <c r="M775" s="170" t="s">
        <v>1520</v>
      </c>
    </row>
    <row r="776" spans="1:14" ht="20.100000000000001" customHeight="1">
      <c r="A776" s="176" t="s">
        <v>25</v>
      </c>
      <c r="B776" s="169" t="s">
        <v>290</v>
      </c>
      <c r="C776" s="471">
        <f t="shared" ref="C776:E776" si="64">C796+C821+C848+C871+C872+C873+C876+C877+C880+C882+C883+C881+C777+C786+C789+C791+C793</f>
        <v>0</v>
      </c>
      <c r="D776" s="472">
        <f t="shared" si="64"/>
        <v>9182412.4845000003</v>
      </c>
      <c r="E776" s="472">
        <f t="shared" si="64"/>
        <v>9014612.4845000003</v>
      </c>
      <c r="F776" s="466">
        <f t="shared" si="59"/>
        <v>9014612.4845000003</v>
      </c>
      <c r="G776" s="472"/>
      <c r="H776" s="775"/>
      <c r="I776" s="472">
        <f>I796+I821+I848+I871+I872+I873+I876+I877+I880+I882+I883+I881+I777+I786+I789+I791+I793+I794+I795</f>
        <v>11159319.896</v>
      </c>
      <c r="J776" s="472">
        <f>J796+J821+J848+J871+J872+J873+J876+J877+J880+J882+J883+J881+J777+J786+J789+J791+J793+J794+J795</f>
        <v>10564541.607000001</v>
      </c>
      <c r="K776" s="472">
        <f>K796+K821+K848+K871+K872+K873+K876+K877+K880+K882+K883+K881+K777+K786+K789+K791+K793+K794+K795</f>
        <v>10564541.607000001</v>
      </c>
      <c r="L776" s="472"/>
      <c r="M776" s="622"/>
    </row>
    <row r="777" spans="1:14" ht="20.100000000000001" customHeight="1">
      <c r="A777" s="176">
        <v>1</v>
      </c>
      <c r="B777" s="785" t="s">
        <v>291</v>
      </c>
      <c r="C777" s="471">
        <f>SUM(C778:C784)</f>
        <v>0</v>
      </c>
      <c r="D777" s="472">
        <f>SUM(D778:D785)</f>
        <v>590800</v>
      </c>
      <c r="E777" s="472">
        <f>SUM(E778:E785)</f>
        <v>428000</v>
      </c>
      <c r="F777" s="466">
        <f t="shared" si="59"/>
        <v>428000</v>
      </c>
      <c r="G777" s="472"/>
      <c r="H777" s="775"/>
      <c r="I777" s="472">
        <f>SUM(I778:I785)</f>
        <v>875200</v>
      </c>
      <c r="J777" s="472">
        <f>SUM(J778:J785)</f>
        <v>564800</v>
      </c>
      <c r="K777" s="472">
        <f>SUM(K778:K785)</f>
        <v>564800</v>
      </c>
      <c r="L777" s="472"/>
      <c r="M777" s="622"/>
      <c r="N777" s="116" t="e">
        <f>#REF!+#REF!+#REF!+#REF!</f>
        <v>#REF!</v>
      </c>
    </row>
    <row r="778" spans="1:14" ht="20.100000000000001" customHeight="1">
      <c r="A778" s="173"/>
      <c r="B778" s="170" t="s">
        <v>1521</v>
      </c>
      <c r="C778" s="490"/>
      <c r="D778" s="488">
        <v>85000</v>
      </c>
      <c r="E778" s="488">
        <v>65000</v>
      </c>
      <c r="F778" s="470">
        <f t="shared" si="59"/>
        <v>65000</v>
      </c>
      <c r="G778" s="488"/>
      <c r="H778" s="798"/>
      <c r="I778" s="488">
        <f>55000+20000+50000+10000+20000+20000+20000</f>
        <v>195000</v>
      </c>
      <c r="J778" s="488">
        <f>55000+10000+30000+10000+20000+10000</f>
        <v>135000</v>
      </c>
      <c r="K778" s="488">
        <f>55000+10000+30000+10000+20000+10000</f>
        <v>135000</v>
      </c>
      <c r="L778" s="488"/>
      <c r="M778" s="170" t="s">
        <v>1522</v>
      </c>
      <c r="N778" s="116" t="e">
        <f>#REF!+#REF!+#REF!+#REF!+#REF!+#REF!+#REF!+#REF!+#REF!+#REF!+#REF!</f>
        <v>#REF!</v>
      </c>
    </row>
    <row r="779" spans="1:14" ht="20.100000000000001" customHeight="1">
      <c r="A779" s="173"/>
      <c r="B779" s="170" t="s">
        <v>1523</v>
      </c>
      <c r="C779" s="490"/>
      <c r="D779" s="488">
        <v>262800</v>
      </c>
      <c r="E779" s="488">
        <v>248000</v>
      </c>
      <c r="F779" s="470">
        <f t="shared" si="59"/>
        <v>248000</v>
      </c>
      <c r="G779" s="488"/>
      <c r="H779" s="798"/>
      <c r="I779" s="488">
        <v>324800</v>
      </c>
      <c r="J779" s="488">
        <v>314800</v>
      </c>
      <c r="K779" s="488">
        <v>314800</v>
      </c>
      <c r="L779" s="488"/>
      <c r="M779" s="623" t="s">
        <v>1524</v>
      </c>
    </row>
    <row r="780" spans="1:14" ht="20.100000000000001" customHeight="1">
      <c r="A780" s="173"/>
      <c r="B780" s="170" t="s">
        <v>1525</v>
      </c>
      <c r="C780" s="490"/>
      <c r="D780" s="488">
        <v>40000</v>
      </c>
      <c r="E780" s="488">
        <v>15000</v>
      </c>
      <c r="F780" s="470">
        <f t="shared" si="59"/>
        <v>15000</v>
      </c>
      <c r="G780" s="488"/>
      <c r="H780" s="798"/>
      <c r="I780" s="488">
        <v>55000</v>
      </c>
      <c r="J780" s="488">
        <v>15000</v>
      </c>
      <c r="K780" s="488">
        <v>15000</v>
      </c>
      <c r="L780" s="488"/>
      <c r="M780" s="623"/>
    </row>
    <row r="781" spans="1:14" ht="20.100000000000001" customHeight="1">
      <c r="A781" s="173"/>
      <c r="B781" s="170" t="s">
        <v>1526</v>
      </c>
      <c r="C781" s="490"/>
      <c r="D781" s="488">
        <v>40000</v>
      </c>
      <c r="E781" s="488">
        <v>20000</v>
      </c>
      <c r="F781" s="470">
        <f t="shared" si="59"/>
        <v>20000</v>
      </c>
      <c r="G781" s="488"/>
      <c r="H781" s="798"/>
      <c r="I781" s="488">
        <v>40000</v>
      </c>
      <c r="J781" s="488">
        <v>20000</v>
      </c>
      <c r="K781" s="488">
        <v>20000</v>
      </c>
      <c r="L781" s="488"/>
      <c r="M781" s="761" t="s">
        <v>1527</v>
      </c>
    </row>
    <row r="782" spans="1:14" ht="20.100000000000001" customHeight="1">
      <c r="A782" s="173"/>
      <c r="B782" s="170" t="s">
        <v>1528</v>
      </c>
      <c r="C782" s="490"/>
      <c r="D782" s="488">
        <v>22000</v>
      </c>
      <c r="E782" s="488">
        <v>10000</v>
      </c>
      <c r="F782" s="470">
        <f t="shared" si="59"/>
        <v>10000</v>
      </c>
      <c r="G782" s="488"/>
      <c r="H782" s="798"/>
      <c r="I782" s="488">
        <v>40000</v>
      </c>
      <c r="J782" s="488">
        <v>10000</v>
      </c>
      <c r="K782" s="488">
        <v>10000</v>
      </c>
      <c r="L782" s="488"/>
      <c r="M782" s="622"/>
    </row>
    <row r="783" spans="1:14" ht="20.100000000000001" customHeight="1">
      <c r="A783" s="171"/>
      <c r="B783" s="170" t="s">
        <v>1529</v>
      </c>
      <c r="C783" s="490"/>
      <c r="D783" s="488">
        <v>51000</v>
      </c>
      <c r="E783" s="488">
        <v>10000</v>
      </c>
      <c r="F783" s="470">
        <f t="shared" si="59"/>
        <v>10000</v>
      </c>
      <c r="G783" s="488"/>
      <c r="H783" s="798"/>
      <c r="I783" s="488">
        <v>50400</v>
      </c>
      <c r="J783" s="488">
        <v>10000</v>
      </c>
      <c r="K783" s="488">
        <v>10000</v>
      </c>
      <c r="L783" s="488"/>
      <c r="M783" s="622"/>
    </row>
    <row r="784" spans="1:14" ht="20.100000000000001" customHeight="1">
      <c r="A784" s="173"/>
      <c r="B784" s="170" t="s">
        <v>1530</v>
      </c>
      <c r="C784" s="490"/>
      <c r="D784" s="488">
        <v>60000</v>
      </c>
      <c r="E784" s="488">
        <v>50000</v>
      </c>
      <c r="F784" s="470">
        <f t="shared" si="59"/>
        <v>50000</v>
      </c>
      <c r="G784" s="488"/>
      <c r="H784" s="798"/>
      <c r="I784" s="488">
        <v>120000</v>
      </c>
      <c r="J784" s="488">
        <v>50000</v>
      </c>
      <c r="K784" s="488">
        <v>50000</v>
      </c>
      <c r="L784" s="488"/>
      <c r="M784" s="761" t="s">
        <v>1101</v>
      </c>
    </row>
    <row r="785" spans="1:14" ht="20.100000000000001" customHeight="1">
      <c r="A785" s="173"/>
      <c r="B785" s="170" t="s">
        <v>1531</v>
      </c>
      <c r="C785" s="490"/>
      <c r="D785" s="488">
        <v>30000</v>
      </c>
      <c r="E785" s="488">
        <v>10000</v>
      </c>
      <c r="F785" s="470">
        <f t="shared" si="59"/>
        <v>10000</v>
      </c>
      <c r="G785" s="488"/>
      <c r="H785" s="798"/>
      <c r="I785" s="488">
        <v>50000</v>
      </c>
      <c r="J785" s="488">
        <v>10000</v>
      </c>
      <c r="K785" s="488">
        <v>10000</v>
      </c>
      <c r="L785" s="488"/>
      <c r="M785" s="622"/>
    </row>
    <row r="786" spans="1:14" ht="20.100000000000001" customHeight="1">
      <c r="A786" s="176">
        <v>2</v>
      </c>
      <c r="B786" s="785" t="s">
        <v>577</v>
      </c>
      <c r="C786" s="492"/>
      <c r="D786" s="491">
        <v>906942</v>
      </c>
      <c r="E786" s="491">
        <v>906942</v>
      </c>
      <c r="F786" s="466">
        <f t="shared" si="59"/>
        <v>906942</v>
      </c>
      <c r="G786" s="491"/>
      <c r="H786" s="799"/>
      <c r="I786" s="491">
        <f>I787+I788</f>
        <v>1060000</v>
      </c>
      <c r="J786" s="491">
        <f>J787+J788</f>
        <v>1060000</v>
      </c>
      <c r="K786" s="491">
        <f>K787+K788</f>
        <v>1060000</v>
      </c>
      <c r="L786" s="491"/>
      <c r="M786" s="622"/>
    </row>
    <row r="787" spans="1:14" ht="20.100000000000001" customHeight="1">
      <c r="A787" s="171"/>
      <c r="B787" s="170" t="s">
        <v>282</v>
      </c>
      <c r="C787" s="490"/>
      <c r="D787" s="488"/>
      <c r="E787" s="488"/>
      <c r="F787" s="470">
        <f t="shared" si="59"/>
        <v>0</v>
      </c>
      <c r="G787" s="488"/>
      <c r="H787" s="798"/>
      <c r="I787" s="488">
        <v>910000</v>
      </c>
      <c r="J787" s="488">
        <v>910000</v>
      </c>
      <c r="K787" s="488">
        <v>910000</v>
      </c>
      <c r="L787" s="488"/>
      <c r="M787" s="622"/>
    </row>
    <row r="788" spans="1:14" ht="42.75" customHeight="1">
      <c r="A788" s="171"/>
      <c r="B788" s="170" t="s">
        <v>1532</v>
      </c>
      <c r="C788" s="490"/>
      <c r="D788" s="488"/>
      <c r="E788" s="488"/>
      <c r="F788" s="470"/>
      <c r="G788" s="488"/>
      <c r="H788" s="798"/>
      <c r="I788" s="488">
        <v>150000</v>
      </c>
      <c r="J788" s="488">
        <v>150000</v>
      </c>
      <c r="K788" s="488">
        <v>150000</v>
      </c>
      <c r="L788" s="488"/>
      <c r="M788" s="622"/>
    </row>
    <row r="789" spans="1:14" ht="20.100000000000001" customHeight="1">
      <c r="A789" s="171">
        <v>3</v>
      </c>
      <c r="B789" s="169" t="s">
        <v>146</v>
      </c>
      <c r="C789" s="492"/>
      <c r="D789" s="491">
        <v>53000</v>
      </c>
      <c r="E789" s="491">
        <v>53000</v>
      </c>
      <c r="F789" s="466">
        <f t="shared" si="59"/>
        <v>53000</v>
      </c>
      <c r="G789" s="491"/>
      <c r="H789" s="799"/>
      <c r="I789" s="491">
        <f>I790</f>
        <v>80460</v>
      </c>
      <c r="J789" s="491">
        <f>J790</f>
        <v>80460</v>
      </c>
      <c r="K789" s="491">
        <f>K790</f>
        <v>80460</v>
      </c>
      <c r="L789" s="491"/>
      <c r="M789" s="622"/>
    </row>
    <row r="790" spans="1:14" ht="20.100000000000001" customHeight="1">
      <c r="A790" s="171"/>
      <c r="B790" s="170" t="s">
        <v>1533</v>
      </c>
      <c r="C790" s="492"/>
      <c r="D790" s="491"/>
      <c r="E790" s="491"/>
      <c r="F790" s="466"/>
      <c r="G790" s="491"/>
      <c r="H790" s="799"/>
      <c r="I790" s="488">
        <f>(2.5+2)*1490*12</f>
        <v>80460</v>
      </c>
      <c r="J790" s="488">
        <f>I790</f>
        <v>80460</v>
      </c>
      <c r="K790" s="488">
        <f>J790</f>
        <v>80460</v>
      </c>
      <c r="L790" s="488"/>
      <c r="M790" s="622"/>
    </row>
    <row r="791" spans="1:14" ht="20.100000000000001" customHeight="1">
      <c r="A791" s="171">
        <v>4</v>
      </c>
      <c r="B791" s="169" t="s">
        <v>356</v>
      </c>
      <c r="C791" s="492"/>
      <c r="D791" s="491">
        <v>71000</v>
      </c>
      <c r="E791" s="491">
        <v>71000</v>
      </c>
      <c r="F791" s="466">
        <f t="shared" si="59"/>
        <v>71000</v>
      </c>
      <c r="G791" s="491"/>
      <c r="H791" s="799"/>
      <c r="I791" s="491">
        <f>I792</f>
        <v>80460</v>
      </c>
      <c r="J791" s="491">
        <f>J792</f>
        <v>80460</v>
      </c>
      <c r="K791" s="491">
        <f>K792</f>
        <v>80460</v>
      </c>
      <c r="L791" s="491"/>
      <c r="M791" s="622"/>
    </row>
    <row r="792" spans="1:14" ht="20.100000000000001" customHeight="1">
      <c r="A792" s="171"/>
      <c r="B792" s="170" t="s">
        <v>1533</v>
      </c>
      <c r="C792" s="492"/>
      <c r="D792" s="491"/>
      <c r="E792" s="491"/>
      <c r="F792" s="466"/>
      <c r="G792" s="491"/>
      <c r="H792" s="799"/>
      <c r="I792" s="488">
        <f>(2.5+2)*1490*12</f>
        <v>80460</v>
      </c>
      <c r="J792" s="488">
        <f>I792</f>
        <v>80460</v>
      </c>
      <c r="K792" s="488">
        <f>J792</f>
        <v>80460</v>
      </c>
      <c r="L792" s="488"/>
      <c r="M792" s="622"/>
    </row>
    <row r="793" spans="1:14" ht="40.5" customHeight="1">
      <c r="A793" s="171">
        <v>5</v>
      </c>
      <c r="B793" s="169" t="s">
        <v>537</v>
      </c>
      <c r="C793" s="492"/>
      <c r="D793" s="491">
        <f>462375*12+838*0.045*12*1390+300000</f>
        <v>6477502.7999999998</v>
      </c>
      <c r="E793" s="491">
        <f>D793</f>
        <v>6477502.7999999998</v>
      </c>
      <c r="F793" s="466">
        <f>E793</f>
        <v>6477502.7999999998</v>
      </c>
      <c r="G793" s="491"/>
      <c r="H793" s="799"/>
      <c r="I793" s="491">
        <v>7000000</v>
      </c>
      <c r="J793" s="491">
        <v>7000000</v>
      </c>
      <c r="K793" s="491">
        <v>7000000</v>
      </c>
      <c r="L793" s="491"/>
      <c r="M793" s="622"/>
    </row>
    <row r="794" spans="1:14" ht="20.100000000000001" customHeight="1">
      <c r="A794" s="171">
        <v>6</v>
      </c>
      <c r="B794" s="169" t="s">
        <v>1534</v>
      </c>
      <c r="C794" s="492"/>
      <c r="D794" s="491"/>
      <c r="E794" s="491"/>
      <c r="F794" s="466"/>
      <c r="G794" s="491"/>
      <c r="H794" s="799"/>
      <c r="I794" s="491">
        <v>429000</v>
      </c>
      <c r="J794" s="491">
        <v>429000</v>
      </c>
      <c r="K794" s="491">
        <v>429000</v>
      </c>
      <c r="L794" s="491"/>
      <c r="M794" s="622"/>
    </row>
    <row r="795" spans="1:14" ht="55.5" customHeight="1">
      <c r="A795" s="171">
        <v>7</v>
      </c>
      <c r="B795" s="169" t="s">
        <v>1535</v>
      </c>
      <c r="C795" s="492"/>
      <c r="D795" s="491"/>
      <c r="E795" s="491"/>
      <c r="F795" s="466"/>
      <c r="G795" s="491"/>
      <c r="H795" s="799"/>
      <c r="I795" s="491">
        <v>250800</v>
      </c>
      <c r="J795" s="491">
        <v>250800</v>
      </c>
      <c r="K795" s="491">
        <v>250800</v>
      </c>
      <c r="L795" s="491"/>
      <c r="M795" s="622"/>
    </row>
    <row r="796" spans="1:14" ht="20.100000000000001" customHeight="1">
      <c r="A796" s="176">
        <v>6</v>
      </c>
      <c r="B796" s="785" t="s">
        <v>221</v>
      </c>
      <c r="C796" s="471"/>
      <c r="D796" s="472">
        <f>(D797+D804+D805)</f>
        <v>344639.83799999999</v>
      </c>
      <c r="E796" s="472">
        <f>(E797+E804+E805)</f>
        <v>339639.83799999999</v>
      </c>
      <c r="F796" s="466">
        <f t="shared" si="59"/>
        <v>339639.83799999999</v>
      </c>
      <c r="G796" s="472"/>
      <c r="H796" s="775"/>
      <c r="I796" s="472">
        <f>(I797+I804+I805)</f>
        <v>394319.484</v>
      </c>
      <c r="J796" s="472">
        <f>(J797+J804+J805)</f>
        <v>352067.59799999994</v>
      </c>
      <c r="K796" s="472">
        <f>(K797+K804+K805)</f>
        <v>352067.59799999994</v>
      </c>
      <c r="L796" s="472"/>
      <c r="M796" s="622"/>
    </row>
    <row r="797" spans="1:14" ht="20.100000000000001" customHeight="1">
      <c r="A797" s="173"/>
      <c r="B797" s="169" t="s">
        <v>377</v>
      </c>
      <c r="C797" s="497"/>
      <c r="D797" s="491">
        <f t="shared" ref="D797:E797" si="65">SUM(D799:D803)</f>
        <v>228345.864</v>
      </c>
      <c r="E797" s="491">
        <f t="shared" si="65"/>
        <v>228345.864</v>
      </c>
      <c r="F797" s="466">
        <f t="shared" si="59"/>
        <v>228345.864</v>
      </c>
      <c r="G797" s="491"/>
      <c r="H797" s="799"/>
      <c r="I797" s="491">
        <v>263519.484</v>
      </c>
      <c r="J797" s="491">
        <f>SUM(J799:J803)</f>
        <v>244773.62399999995</v>
      </c>
      <c r="K797" s="491">
        <f>SUM(K799:K803)</f>
        <v>244773.62399999995</v>
      </c>
      <c r="L797" s="491"/>
      <c r="M797" s="622"/>
      <c r="N797" s="116" t="e">
        <f>#REF!+#REF!+#REF!+#REF!</f>
        <v>#REF!</v>
      </c>
    </row>
    <row r="798" spans="1:14" ht="20.100000000000001" customHeight="1">
      <c r="A798" s="173"/>
      <c r="B798" s="169" t="s">
        <v>621</v>
      </c>
      <c r="C798" s="490"/>
      <c r="D798" s="488"/>
      <c r="E798" s="488"/>
      <c r="F798" s="470">
        <f t="shared" si="59"/>
        <v>0</v>
      </c>
      <c r="G798" s="488"/>
      <c r="H798" s="798"/>
      <c r="I798" s="488"/>
      <c r="J798" s="488"/>
      <c r="K798" s="488"/>
      <c r="L798" s="488"/>
      <c r="M798" s="622"/>
      <c r="N798" s="116" t="e">
        <f>#REF!+#REF!+#REF!</f>
        <v>#REF!</v>
      </c>
    </row>
    <row r="799" spans="1:14" ht="20.100000000000001" customHeight="1">
      <c r="A799" s="171"/>
      <c r="B799" s="170" t="s">
        <v>622</v>
      </c>
      <c r="C799" s="489">
        <f>3.46+0.1+0.2</f>
        <v>3.7600000000000002</v>
      </c>
      <c r="D799" s="488">
        <f>C799*1390*12</f>
        <v>62716.800000000003</v>
      </c>
      <c r="E799" s="488">
        <f>D799</f>
        <v>62716.800000000003</v>
      </c>
      <c r="F799" s="470">
        <f t="shared" si="59"/>
        <v>62716.800000000003</v>
      </c>
      <c r="G799" s="488"/>
      <c r="H799" s="797">
        <f>3.46+0.1+0.2</f>
        <v>3.7600000000000002</v>
      </c>
      <c r="I799" s="488"/>
      <c r="J799" s="488">
        <f>H799*1490*12</f>
        <v>67228.800000000003</v>
      </c>
      <c r="K799" s="488">
        <f>J799</f>
        <v>67228.800000000003</v>
      </c>
      <c r="L799" s="488"/>
      <c r="M799" s="622"/>
      <c r="N799" s="116" t="e">
        <f>#REF!+#REF!+#REF!+#REF!</f>
        <v>#REF!</v>
      </c>
    </row>
    <row r="800" spans="1:14" ht="20.100000000000001" customHeight="1">
      <c r="A800" s="171"/>
      <c r="B800" s="170" t="s">
        <v>175</v>
      </c>
      <c r="C800" s="489">
        <f>3.46*23.5%</f>
        <v>0.81309999999999993</v>
      </c>
      <c r="D800" s="488">
        <f>C800*1390*12</f>
        <v>13562.507999999998</v>
      </c>
      <c r="E800" s="488">
        <f>D800</f>
        <v>13562.507999999998</v>
      </c>
      <c r="F800" s="470">
        <f t="shared" si="59"/>
        <v>13562.507999999998</v>
      </c>
      <c r="G800" s="488"/>
      <c r="H800" s="797">
        <f>3.46*23.5%</f>
        <v>0.81309999999999993</v>
      </c>
      <c r="I800" s="488"/>
      <c r="J800" s="488">
        <f>H800*1490*12</f>
        <v>14538.227999999999</v>
      </c>
      <c r="K800" s="488">
        <f>J800</f>
        <v>14538.227999999999</v>
      </c>
      <c r="L800" s="488"/>
      <c r="M800" s="622"/>
      <c r="N800" s="116" t="e">
        <f>#REF!+#REF!</f>
        <v>#REF!</v>
      </c>
    </row>
    <row r="801" spans="1:13" ht="20.100000000000001" customHeight="1">
      <c r="A801" s="171"/>
      <c r="B801" s="169" t="s">
        <v>1536</v>
      </c>
      <c r="C801" s="490"/>
      <c r="D801" s="488"/>
      <c r="E801" s="488"/>
      <c r="F801" s="470">
        <f t="shared" si="59"/>
        <v>0</v>
      </c>
      <c r="G801" s="488"/>
      <c r="H801" s="797"/>
      <c r="I801" s="488"/>
      <c r="J801" s="488"/>
      <c r="K801" s="488"/>
      <c r="L801" s="488"/>
      <c r="M801" s="622"/>
    </row>
    <row r="802" spans="1:13" ht="20.100000000000001" customHeight="1">
      <c r="A802" s="171"/>
      <c r="B802" s="170" t="s">
        <v>624</v>
      </c>
      <c r="C802" s="489">
        <f>(6.72+0.5+0.2)</f>
        <v>7.42</v>
      </c>
      <c r="D802" s="488">
        <f>C802*1390*12</f>
        <v>123765.59999999999</v>
      </c>
      <c r="E802" s="488">
        <f>D802</f>
        <v>123765.59999999999</v>
      </c>
      <c r="F802" s="470">
        <f t="shared" si="59"/>
        <v>123765.59999999999</v>
      </c>
      <c r="G802" s="488"/>
      <c r="H802" s="797">
        <f>6.72+0.5+0.2</f>
        <v>7.42</v>
      </c>
      <c r="I802" s="488"/>
      <c r="J802" s="488">
        <f>H802*1490*12</f>
        <v>132669.59999999998</v>
      </c>
      <c r="K802" s="488">
        <f>J802</f>
        <v>132669.59999999998</v>
      </c>
      <c r="L802" s="488"/>
      <c r="M802" s="622"/>
    </row>
    <row r="803" spans="1:13" ht="20.100000000000001" customHeight="1">
      <c r="A803" s="171"/>
      <c r="B803" s="170" t="s">
        <v>175</v>
      </c>
      <c r="C803" s="489">
        <f>(6.72+0.5)*23.5%</f>
        <v>1.6966999999999999</v>
      </c>
      <c r="D803" s="488">
        <f>C803*1390*12</f>
        <v>28300.955999999998</v>
      </c>
      <c r="E803" s="488">
        <f>D803</f>
        <v>28300.955999999998</v>
      </c>
      <c r="F803" s="470">
        <f t="shared" si="59"/>
        <v>28300.955999999998</v>
      </c>
      <c r="G803" s="488"/>
      <c r="H803" s="797">
        <f>(6.72+0.5)*23.5%</f>
        <v>1.6966999999999999</v>
      </c>
      <c r="I803" s="488"/>
      <c r="J803" s="488">
        <f>H803*1490*12</f>
        <v>30336.995999999996</v>
      </c>
      <c r="K803" s="488">
        <f>J803</f>
        <v>30336.995999999996</v>
      </c>
      <c r="L803" s="488"/>
      <c r="M803" s="622"/>
    </row>
    <row r="804" spans="1:13" ht="20.100000000000001" customHeight="1">
      <c r="A804" s="171"/>
      <c r="B804" s="169" t="s">
        <v>5</v>
      </c>
      <c r="C804" s="492"/>
      <c r="D804" s="491">
        <f>(C799+C800+C802+C803)*1210*20/80*12</f>
        <v>49693.974000000002</v>
      </c>
      <c r="E804" s="491">
        <f>D804</f>
        <v>49693.974000000002</v>
      </c>
      <c r="F804" s="466">
        <f t="shared" si="59"/>
        <v>49693.974000000002</v>
      </c>
      <c r="G804" s="491"/>
      <c r="H804" s="799"/>
      <c r="I804" s="491"/>
      <c r="J804" s="491">
        <f>(H799+H800+H802+H803)*1210*20/80*12</f>
        <v>49693.974000000002</v>
      </c>
      <c r="K804" s="491">
        <f>J804</f>
        <v>49693.974000000002</v>
      </c>
      <c r="L804" s="491"/>
      <c r="M804" s="622"/>
    </row>
    <row r="805" spans="1:13" ht="20.100000000000001" customHeight="1">
      <c r="A805" s="171"/>
      <c r="B805" s="169" t="s">
        <v>380</v>
      </c>
      <c r="C805" s="471">
        <f t="shared" ref="C805:E805" si="66">SUM(C806:C810)</f>
        <v>0</v>
      </c>
      <c r="D805" s="472">
        <f t="shared" si="66"/>
        <v>66600</v>
      </c>
      <c r="E805" s="472">
        <f t="shared" si="66"/>
        <v>61600</v>
      </c>
      <c r="F805" s="466">
        <f t="shared" si="59"/>
        <v>61600</v>
      </c>
      <c r="G805" s="472"/>
      <c r="H805" s="775"/>
      <c r="I805" s="472">
        <f>SUM(I806:I820)</f>
        <v>130800</v>
      </c>
      <c r="J805" s="472">
        <v>57600</v>
      </c>
      <c r="K805" s="472">
        <v>57600</v>
      </c>
      <c r="L805" s="472"/>
      <c r="M805" s="622"/>
    </row>
    <row r="806" spans="1:13" ht="20.100000000000001" customHeight="1">
      <c r="A806" s="171"/>
      <c r="B806" s="170" t="s">
        <v>1537</v>
      </c>
      <c r="C806" s="490"/>
      <c r="D806" s="488">
        <v>13500</v>
      </c>
      <c r="E806" s="488">
        <v>13500</v>
      </c>
      <c r="F806" s="470">
        <f t="shared" si="59"/>
        <v>13500</v>
      </c>
      <c r="G806" s="488"/>
      <c r="H806" s="798"/>
      <c r="I806" s="488"/>
      <c r="J806" s="488"/>
      <c r="K806" s="488"/>
      <c r="L806" s="488"/>
      <c r="M806" s="622"/>
    </row>
    <row r="807" spans="1:13" ht="20.100000000000001" customHeight="1">
      <c r="A807" s="173"/>
      <c r="B807" s="170" t="s">
        <v>1538</v>
      </c>
      <c r="C807" s="490"/>
      <c r="D807" s="488">
        <v>4500</v>
      </c>
      <c r="E807" s="488">
        <v>4500</v>
      </c>
      <c r="F807" s="470">
        <f t="shared" si="59"/>
        <v>4500</v>
      </c>
      <c r="G807" s="488"/>
      <c r="H807" s="798"/>
      <c r="I807" s="488"/>
      <c r="J807" s="488"/>
      <c r="K807" s="488"/>
      <c r="L807" s="488"/>
      <c r="M807" s="622"/>
    </row>
    <row r="808" spans="1:13" ht="20.100000000000001" customHeight="1">
      <c r="A808" s="173"/>
      <c r="B808" s="170" t="s">
        <v>352</v>
      </c>
      <c r="C808" s="490"/>
      <c r="D808" s="488">
        <v>30000</v>
      </c>
      <c r="E808" s="488">
        <v>30000</v>
      </c>
      <c r="F808" s="470">
        <f t="shared" si="59"/>
        <v>30000</v>
      </c>
      <c r="G808" s="488"/>
      <c r="H808" s="798"/>
      <c r="I808" s="488"/>
      <c r="J808" s="488"/>
      <c r="K808" s="488"/>
      <c r="L808" s="488"/>
      <c r="M808" s="622"/>
    </row>
    <row r="809" spans="1:13" ht="20.100000000000001" customHeight="1">
      <c r="A809" s="171"/>
      <c r="B809" s="170" t="s">
        <v>234</v>
      </c>
      <c r="C809" s="490"/>
      <c r="D809" s="488">
        <v>3600</v>
      </c>
      <c r="E809" s="488">
        <v>3600</v>
      </c>
      <c r="F809" s="470">
        <f t="shared" si="59"/>
        <v>3600</v>
      </c>
      <c r="G809" s="488"/>
      <c r="H809" s="798"/>
      <c r="I809" s="488"/>
      <c r="J809" s="488"/>
      <c r="K809" s="488"/>
      <c r="L809" s="488"/>
      <c r="M809" s="622"/>
    </row>
    <row r="810" spans="1:13" ht="20.100000000000001" customHeight="1">
      <c r="A810" s="171"/>
      <c r="B810" s="170" t="s">
        <v>1103</v>
      </c>
      <c r="C810" s="490"/>
      <c r="D810" s="488">
        <v>15000</v>
      </c>
      <c r="E810" s="488">
        <v>10000</v>
      </c>
      <c r="F810" s="470">
        <f t="shared" si="59"/>
        <v>10000</v>
      </c>
      <c r="G810" s="488"/>
      <c r="H810" s="798"/>
      <c r="I810" s="488"/>
      <c r="J810" s="488"/>
      <c r="K810" s="488"/>
      <c r="L810" s="488"/>
      <c r="M810" s="761"/>
    </row>
    <row r="811" spans="1:13" ht="20.100000000000001" customHeight="1">
      <c r="A811" s="171"/>
      <c r="B811" s="170" t="s">
        <v>1539</v>
      </c>
      <c r="C811" s="490"/>
      <c r="D811" s="488"/>
      <c r="E811" s="488"/>
      <c r="F811" s="470"/>
      <c r="G811" s="488"/>
      <c r="H811" s="798"/>
      <c r="I811" s="484">
        <v>11400</v>
      </c>
      <c r="J811" s="488"/>
      <c r="K811" s="488"/>
      <c r="L811" s="488"/>
      <c r="M811" s="1165" t="s">
        <v>229</v>
      </c>
    </row>
    <row r="812" spans="1:13" ht="20.100000000000001" customHeight="1">
      <c r="A812" s="171"/>
      <c r="B812" s="170" t="s">
        <v>1540</v>
      </c>
      <c r="C812" s="490"/>
      <c r="D812" s="488"/>
      <c r="E812" s="488"/>
      <c r="F812" s="470"/>
      <c r="G812" s="488"/>
      <c r="H812" s="798"/>
      <c r="I812" s="484">
        <v>8400</v>
      </c>
      <c r="J812" s="488"/>
      <c r="K812" s="488"/>
      <c r="L812" s="488"/>
      <c r="M812" s="1193"/>
    </row>
    <row r="813" spans="1:13" ht="20.100000000000001" customHeight="1">
      <c r="A813" s="171"/>
      <c r="B813" s="170" t="s">
        <v>1541</v>
      </c>
      <c r="C813" s="490"/>
      <c r="D813" s="488"/>
      <c r="E813" s="488"/>
      <c r="F813" s="470"/>
      <c r="G813" s="488"/>
      <c r="H813" s="798"/>
      <c r="I813" s="484">
        <v>4800</v>
      </c>
      <c r="J813" s="488"/>
      <c r="K813" s="488"/>
      <c r="L813" s="488"/>
      <c r="M813" s="1193"/>
    </row>
    <row r="814" spans="1:13" ht="20.100000000000001" customHeight="1">
      <c r="A814" s="171"/>
      <c r="B814" s="170" t="s">
        <v>1542</v>
      </c>
      <c r="C814" s="490"/>
      <c r="D814" s="488"/>
      <c r="E814" s="488"/>
      <c r="F814" s="470"/>
      <c r="G814" s="488"/>
      <c r="H814" s="798"/>
      <c r="I814" s="488">
        <v>7200</v>
      </c>
      <c r="J814" s="488"/>
      <c r="K814" s="488"/>
      <c r="L814" s="488"/>
      <c r="M814" s="1193"/>
    </row>
    <row r="815" spans="1:13" ht="20.100000000000001" customHeight="1">
      <c r="A815" s="171"/>
      <c r="B815" s="170" t="s">
        <v>1543</v>
      </c>
      <c r="C815" s="490"/>
      <c r="D815" s="488"/>
      <c r="E815" s="488"/>
      <c r="F815" s="470"/>
      <c r="G815" s="488"/>
      <c r="H815" s="798"/>
      <c r="I815" s="488">
        <v>15000</v>
      </c>
      <c r="J815" s="488"/>
      <c r="K815" s="488"/>
      <c r="L815" s="488"/>
      <c r="M815" s="1193"/>
    </row>
    <row r="816" spans="1:13" ht="20.100000000000001" customHeight="1">
      <c r="A816" s="171"/>
      <c r="B816" s="170" t="s">
        <v>1544</v>
      </c>
      <c r="C816" s="490"/>
      <c r="D816" s="488"/>
      <c r="E816" s="488"/>
      <c r="F816" s="470"/>
      <c r="G816" s="488"/>
      <c r="H816" s="798"/>
      <c r="I816" s="488">
        <v>21600</v>
      </c>
      <c r="J816" s="488"/>
      <c r="K816" s="488"/>
      <c r="L816" s="488"/>
      <c r="M816" s="1193"/>
    </row>
    <row r="817" spans="1:14" ht="20.100000000000001" customHeight="1">
      <c r="A817" s="171"/>
      <c r="B817" s="170" t="s">
        <v>1545</v>
      </c>
      <c r="C817" s="490"/>
      <c r="D817" s="488"/>
      <c r="E817" s="488"/>
      <c r="F817" s="470"/>
      <c r="G817" s="488"/>
      <c r="H817" s="798"/>
      <c r="I817" s="488">
        <v>6000</v>
      </c>
      <c r="J817" s="488"/>
      <c r="K817" s="488"/>
      <c r="L817" s="488"/>
      <c r="M817" s="1193"/>
    </row>
    <row r="818" spans="1:14" ht="20.100000000000001" customHeight="1">
      <c r="A818" s="171"/>
      <c r="B818" s="170" t="s">
        <v>1546</v>
      </c>
      <c r="C818" s="490"/>
      <c r="D818" s="488"/>
      <c r="E818" s="488"/>
      <c r="F818" s="470"/>
      <c r="G818" s="488"/>
      <c r="H818" s="798"/>
      <c r="I818" s="488">
        <v>2400</v>
      </c>
      <c r="J818" s="488"/>
      <c r="K818" s="488"/>
      <c r="L818" s="488"/>
      <c r="M818" s="1193"/>
    </row>
    <row r="819" spans="1:14" ht="20.100000000000001" customHeight="1">
      <c r="A819" s="171"/>
      <c r="B819" s="170" t="s">
        <v>1547</v>
      </c>
      <c r="C819" s="490"/>
      <c r="D819" s="488"/>
      <c r="E819" s="488"/>
      <c r="F819" s="470"/>
      <c r="G819" s="488"/>
      <c r="H819" s="798"/>
      <c r="I819" s="488">
        <v>48000</v>
      </c>
      <c r="J819" s="488"/>
      <c r="K819" s="488"/>
      <c r="L819" s="488"/>
      <c r="M819" s="1193"/>
    </row>
    <row r="820" spans="1:14" ht="20.100000000000001" customHeight="1">
      <c r="A820" s="171"/>
      <c r="B820" s="170" t="s">
        <v>233</v>
      </c>
      <c r="C820" s="490"/>
      <c r="D820" s="488"/>
      <c r="E820" s="488"/>
      <c r="F820" s="470"/>
      <c r="G820" s="488"/>
      <c r="H820" s="798"/>
      <c r="I820" s="488">
        <v>6000</v>
      </c>
      <c r="J820" s="488"/>
      <c r="K820" s="488"/>
      <c r="L820" s="488"/>
      <c r="M820" s="1166"/>
    </row>
    <row r="821" spans="1:14" ht="20.100000000000001" customHeight="1">
      <c r="A821" s="176">
        <v>7</v>
      </c>
      <c r="B821" s="785" t="s">
        <v>353</v>
      </c>
      <c r="C821" s="471"/>
      <c r="D821" s="472">
        <f>(D822+D829+D830)</f>
        <v>251935.70450000002</v>
      </c>
      <c r="E821" s="472">
        <f>(E822+E829+E830)</f>
        <v>251935.70450000002</v>
      </c>
      <c r="F821" s="466">
        <f t="shared" si="59"/>
        <v>251935.70450000002</v>
      </c>
      <c r="G821" s="472"/>
      <c r="H821" s="775"/>
      <c r="I821" s="472">
        <f>(I822+I829+I830)</f>
        <v>351901</v>
      </c>
      <c r="J821" s="472">
        <f>(J822+J829+J830)</f>
        <v>211501.26</v>
      </c>
      <c r="K821" s="472">
        <f>(K822+K829+K830)</f>
        <v>211501.26</v>
      </c>
      <c r="L821" s="472"/>
      <c r="M821" s="622"/>
    </row>
    <row r="822" spans="1:14" ht="20.100000000000001" customHeight="1">
      <c r="A822" s="171"/>
      <c r="B822" s="169" t="s">
        <v>377</v>
      </c>
      <c r="C822" s="471"/>
      <c r="D822" s="472">
        <f>SUM(D824:D828)</f>
        <v>172003.32600000003</v>
      </c>
      <c r="E822" s="472">
        <f>SUM(E824:E828)</f>
        <v>172003.32600000003</v>
      </c>
      <c r="F822" s="466">
        <f t="shared" si="59"/>
        <v>172003.32600000003</v>
      </c>
      <c r="G822" s="472"/>
      <c r="H822" s="775"/>
      <c r="I822" s="472">
        <v>216201</v>
      </c>
      <c r="J822" s="472">
        <f>SUM(J824:J828)</f>
        <v>138818.26</v>
      </c>
      <c r="K822" s="472">
        <f>SUM(K824:K828)</f>
        <v>138818.26</v>
      </c>
      <c r="L822" s="472"/>
      <c r="M822" s="622"/>
    </row>
    <row r="823" spans="1:14" ht="20.100000000000001" customHeight="1">
      <c r="A823" s="171"/>
      <c r="B823" s="169" t="s">
        <v>492</v>
      </c>
      <c r="C823" s="490"/>
      <c r="D823" s="488"/>
      <c r="E823" s="488"/>
      <c r="F823" s="470">
        <f t="shared" si="59"/>
        <v>0</v>
      </c>
      <c r="G823" s="488"/>
      <c r="H823" s="798"/>
      <c r="I823" s="488"/>
      <c r="J823" s="488"/>
      <c r="K823" s="488"/>
      <c r="L823" s="488"/>
      <c r="M823" s="622"/>
    </row>
    <row r="824" spans="1:14" ht="20.100000000000001" customHeight="1">
      <c r="A824" s="171"/>
      <c r="B824" s="170" t="s">
        <v>622</v>
      </c>
      <c r="C824" s="505">
        <f>4.32+0.3+0.1+1.155</f>
        <v>5.875</v>
      </c>
      <c r="D824" s="488">
        <f>C824*1390*12</f>
        <v>97995</v>
      </c>
      <c r="E824" s="488">
        <f>D824</f>
        <v>97995</v>
      </c>
      <c r="F824" s="470">
        <f t="shared" si="59"/>
        <v>97995</v>
      </c>
      <c r="G824" s="488"/>
      <c r="H824" s="797">
        <f>4.32+0.3+0.1+1.155</f>
        <v>5.875</v>
      </c>
      <c r="I824" s="488"/>
      <c r="J824" s="488">
        <f>H824*1490*12</f>
        <v>105045</v>
      </c>
      <c r="K824" s="488">
        <f>J824</f>
        <v>105045</v>
      </c>
      <c r="L824" s="488"/>
      <c r="M824" s="622"/>
    </row>
    <row r="825" spans="1:14" ht="20.100000000000001" customHeight="1">
      <c r="A825" s="171"/>
      <c r="B825" s="170" t="s">
        <v>175</v>
      </c>
      <c r="C825" s="505">
        <f>(4.32+0.3)*22.5%</f>
        <v>1.0395000000000001</v>
      </c>
      <c r="D825" s="488">
        <f>C825*1390*12</f>
        <v>17338.86</v>
      </c>
      <c r="E825" s="488">
        <f>D825</f>
        <v>17338.86</v>
      </c>
      <c r="F825" s="470">
        <f t="shared" si="59"/>
        <v>17338.86</v>
      </c>
      <c r="G825" s="488"/>
      <c r="H825" s="797">
        <f>(4.32+0.3)*22.5%</f>
        <v>1.0395000000000001</v>
      </c>
      <c r="I825" s="488"/>
      <c r="J825" s="488">
        <f>H825*1490*12</f>
        <v>18586.260000000002</v>
      </c>
      <c r="K825" s="488">
        <f>J825</f>
        <v>18586.260000000002</v>
      </c>
      <c r="L825" s="488"/>
      <c r="M825" s="622"/>
    </row>
    <row r="826" spans="1:14" ht="20.100000000000001" customHeight="1">
      <c r="A826" s="171"/>
      <c r="B826" s="169" t="s">
        <v>480</v>
      </c>
      <c r="C826" s="490"/>
      <c r="D826" s="488"/>
      <c r="E826" s="488"/>
      <c r="F826" s="470">
        <f t="shared" ref="F826:F907" si="67">E826</f>
        <v>0</v>
      </c>
      <c r="G826" s="488"/>
      <c r="H826" s="798"/>
      <c r="I826" s="488"/>
      <c r="J826" s="488"/>
      <c r="K826" s="488"/>
      <c r="L826" s="488"/>
      <c r="M826" s="622"/>
    </row>
    <row r="827" spans="1:14" ht="20.100000000000001" customHeight="1">
      <c r="A827" s="171"/>
      <c r="B827" s="170" t="s">
        <v>622</v>
      </c>
      <c r="C827" s="489">
        <f>2.67+0.1</f>
        <v>2.77</v>
      </c>
      <c r="D827" s="488">
        <f>C827*1390*12</f>
        <v>46203.600000000006</v>
      </c>
      <c r="E827" s="488">
        <f>D827</f>
        <v>46203.600000000006</v>
      </c>
      <c r="F827" s="470">
        <f t="shared" si="67"/>
        <v>46203.600000000006</v>
      </c>
      <c r="G827" s="488"/>
      <c r="H827" s="797">
        <f>2.67+0.1</f>
        <v>2.77</v>
      </c>
      <c r="I827" s="488"/>
      <c r="J827" s="488">
        <v>12382</v>
      </c>
      <c r="K827" s="488">
        <f>J827</f>
        <v>12382</v>
      </c>
      <c r="L827" s="488"/>
      <c r="M827" s="850"/>
    </row>
    <row r="828" spans="1:14" ht="20.100000000000001" customHeight="1">
      <c r="A828" s="171"/>
      <c r="B828" s="170" t="s">
        <v>175</v>
      </c>
      <c r="C828" s="489">
        <f>2.67*23.5%</f>
        <v>0.62744999999999995</v>
      </c>
      <c r="D828" s="488">
        <f>C828*1390*12</f>
        <v>10465.866</v>
      </c>
      <c r="E828" s="488">
        <f>D828</f>
        <v>10465.866</v>
      </c>
      <c r="F828" s="470">
        <f t="shared" si="67"/>
        <v>10465.866</v>
      </c>
      <c r="G828" s="488"/>
      <c r="H828" s="797">
        <f>2.67*23.5%</f>
        <v>0.62744999999999995</v>
      </c>
      <c r="I828" s="488"/>
      <c r="J828" s="488">
        <v>2805</v>
      </c>
      <c r="K828" s="488">
        <f>J828</f>
        <v>2805</v>
      </c>
      <c r="L828" s="488"/>
      <c r="M828" s="850"/>
    </row>
    <row r="829" spans="1:14" ht="20.100000000000001" customHeight="1">
      <c r="A829" s="171"/>
      <c r="B829" s="169" t="s">
        <v>732</v>
      </c>
      <c r="C829" s="492"/>
      <c r="D829" s="491">
        <f>(C824+C825+C827+C828)*20/80*1210*12</f>
        <v>37432.378499999999</v>
      </c>
      <c r="E829" s="491">
        <f>D829</f>
        <v>37432.378499999999</v>
      </c>
      <c r="F829" s="466">
        <f t="shared" si="67"/>
        <v>37432.378499999999</v>
      </c>
      <c r="G829" s="491"/>
      <c r="H829" s="799"/>
      <c r="I829" s="491"/>
      <c r="J829" s="491">
        <v>28183</v>
      </c>
      <c r="K829" s="491">
        <v>28183</v>
      </c>
      <c r="L829" s="491"/>
      <c r="M829" s="622"/>
      <c r="N829" s="116">
        <f>M827+M828+N558+N559</f>
        <v>619724.6100000001</v>
      </c>
    </row>
    <row r="830" spans="1:14" ht="20.100000000000001" customHeight="1">
      <c r="A830" s="171"/>
      <c r="B830" s="169" t="s">
        <v>380</v>
      </c>
      <c r="C830" s="471">
        <f t="shared" ref="C830:D830" si="68">SUM(C831:C836)</f>
        <v>0</v>
      </c>
      <c r="D830" s="472">
        <f t="shared" si="68"/>
        <v>42500</v>
      </c>
      <c r="E830" s="472">
        <f>SUM(E831:E836)</f>
        <v>42500</v>
      </c>
      <c r="F830" s="466">
        <f t="shared" si="67"/>
        <v>42500</v>
      </c>
      <c r="G830" s="472"/>
      <c r="H830" s="775"/>
      <c r="I830" s="472">
        <f>SUM(I831:I847)</f>
        <v>135700</v>
      </c>
      <c r="J830" s="472">
        <v>44500</v>
      </c>
      <c r="K830" s="472">
        <v>44500</v>
      </c>
      <c r="L830" s="472"/>
      <c r="M830" s="622"/>
    </row>
    <row r="831" spans="1:14" ht="20.100000000000001" customHeight="1">
      <c r="A831" s="171"/>
      <c r="B831" s="170" t="s">
        <v>1548</v>
      </c>
      <c r="C831" s="490"/>
      <c r="D831" s="488">
        <v>9000</v>
      </c>
      <c r="E831" s="488">
        <v>9000</v>
      </c>
      <c r="F831" s="470">
        <f t="shared" si="67"/>
        <v>9000</v>
      </c>
      <c r="G831" s="488"/>
      <c r="H831" s="798"/>
      <c r="I831" s="488"/>
      <c r="J831" s="488"/>
      <c r="K831" s="488"/>
      <c r="L831" s="488"/>
      <c r="M831" s="622"/>
    </row>
    <row r="832" spans="1:14" ht="20.100000000000001" customHeight="1">
      <c r="A832" s="173"/>
      <c r="B832" s="170" t="s">
        <v>75</v>
      </c>
      <c r="C832" s="490"/>
      <c r="D832" s="488">
        <v>1500</v>
      </c>
      <c r="E832" s="488">
        <v>1500</v>
      </c>
      <c r="F832" s="470">
        <f t="shared" si="67"/>
        <v>1500</v>
      </c>
      <c r="G832" s="488"/>
      <c r="H832" s="798"/>
      <c r="I832" s="488"/>
      <c r="J832" s="488"/>
      <c r="K832" s="488"/>
      <c r="L832" s="488"/>
      <c r="M832" s="622"/>
    </row>
    <row r="833" spans="1:13" ht="20.100000000000001" customHeight="1">
      <c r="A833" s="173"/>
      <c r="B833" s="170" t="s">
        <v>1549</v>
      </c>
      <c r="C833" s="490"/>
      <c r="D833" s="488">
        <v>3000</v>
      </c>
      <c r="E833" s="488">
        <v>3000</v>
      </c>
      <c r="F833" s="470">
        <f t="shared" si="67"/>
        <v>3000</v>
      </c>
      <c r="G833" s="488"/>
      <c r="H833" s="798"/>
      <c r="I833" s="488"/>
      <c r="J833" s="488"/>
      <c r="K833" s="488"/>
      <c r="L833" s="488"/>
      <c r="M833" s="622"/>
    </row>
    <row r="834" spans="1:13" ht="20.100000000000001" customHeight="1">
      <c r="A834" s="171"/>
      <c r="B834" s="170" t="s">
        <v>1550</v>
      </c>
      <c r="C834" s="490"/>
      <c r="D834" s="488">
        <v>4000</v>
      </c>
      <c r="E834" s="488">
        <v>4000</v>
      </c>
      <c r="F834" s="470">
        <f t="shared" si="67"/>
        <v>4000</v>
      </c>
      <c r="G834" s="488"/>
      <c r="H834" s="798"/>
      <c r="I834" s="488"/>
      <c r="J834" s="488"/>
      <c r="K834" s="488"/>
      <c r="L834" s="488"/>
      <c r="M834" s="622"/>
    </row>
    <row r="835" spans="1:13" ht="20.100000000000001" customHeight="1">
      <c r="A835" s="171"/>
      <c r="B835" s="170" t="s">
        <v>763</v>
      </c>
      <c r="C835" s="490"/>
      <c r="D835" s="488">
        <v>20000</v>
      </c>
      <c r="E835" s="488">
        <v>20000</v>
      </c>
      <c r="F835" s="470">
        <f t="shared" si="67"/>
        <v>20000</v>
      </c>
      <c r="G835" s="488"/>
      <c r="H835" s="798"/>
      <c r="I835" s="488"/>
      <c r="J835" s="488"/>
      <c r="K835" s="488"/>
      <c r="L835" s="488"/>
      <c r="M835" s="622"/>
    </row>
    <row r="836" spans="1:13" ht="20.100000000000001" customHeight="1">
      <c r="A836" s="173"/>
      <c r="B836" s="170" t="s">
        <v>269</v>
      </c>
      <c r="C836" s="490"/>
      <c r="D836" s="488">
        <v>5000</v>
      </c>
      <c r="E836" s="488">
        <v>5000</v>
      </c>
      <c r="F836" s="470">
        <f t="shared" si="67"/>
        <v>5000</v>
      </c>
      <c r="G836" s="488"/>
      <c r="H836" s="798"/>
      <c r="I836" s="488"/>
      <c r="J836" s="488"/>
      <c r="K836" s="488"/>
      <c r="L836" s="488"/>
      <c r="M836" s="622"/>
    </row>
    <row r="837" spans="1:13" ht="20.100000000000001" customHeight="1">
      <c r="A837" s="173"/>
      <c r="B837" s="170" t="s">
        <v>1551</v>
      </c>
      <c r="C837" s="490"/>
      <c r="D837" s="488"/>
      <c r="E837" s="488"/>
      <c r="F837" s="470"/>
      <c r="G837" s="488"/>
      <c r="H837" s="798"/>
      <c r="I837" s="484">
        <v>6000</v>
      </c>
      <c r="J837" s="488"/>
      <c r="K837" s="488"/>
      <c r="L837" s="488"/>
      <c r="M837" s="1182" t="s">
        <v>229</v>
      </c>
    </row>
    <row r="838" spans="1:13" ht="20.100000000000001" customHeight="1">
      <c r="A838" s="173"/>
      <c r="B838" s="170" t="s">
        <v>1539</v>
      </c>
      <c r="C838" s="490"/>
      <c r="D838" s="488"/>
      <c r="E838" s="488"/>
      <c r="F838" s="470"/>
      <c r="G838" s="488"/>
      <c r="H838" s="798"/>
      <c r="I838" s="484">
        <v>14400</v>
      </c>
      <c r="J838" s="488"/>
      <c r="K838" s="488"/>
      <c r="L838" s="488"/>
      <c r="M838" s="1194"/>
    </row>
    <row r="839" spans="1:13" ht="20.100000000000001" customHeight="1">
      <c r="A839" s="173"/>
      <c r="B839" s="170" t="s">
        <v>1540</v>
      </c>
      <c r="C839" s="490"/>
      <c r="D839" s="488"/>
      <c r="E839" s="488"/>
      <c r="F839" s="470"/>
      <c r="G839" s="488"/>
      <c r="H839" s="798"/>
      <c r="I839" s="484">
        <v>7200</v>
      </c>
      <c r="J839" s="488"/>
      <c r="K839" s="488"/>
      <c r="L839" s="488"/>
      <c r="M839" s="1194"/>
    </row>
    <row r="840" spans="1:13" ht="20.100000000000001" customHeight="1">
      <c r="A840" s="173"/>
      <c r="B840" s="170" t="s">
        <v>1541</v>
      </c>
      <c r="C840" s="490"/>
      <c r="D840" s="488"/>
      <c r="E840" s="488"/>
      <c r="F840" s="470"/>
      <c r="G840" s="488"/>
      <c r="H840" s="798"/>
      <c r="I840" s="484">
        <v>8400</v>
      </c>
      <c r="J840" s="488"/>
      <c r="K840" s="488"/>
      <c r="L840" s="488"/>
      <c r="M840" s="1194"/>
    </row>
    <row r="841" spans="1:13" ht="20.100000000000001" customHeight="1">
      <c r="A841" s="173"/>
      <c r="B841" s="170" t="s">
        <v>1542</v>
      </c>
      <c r="C841" s="490"/>
      <c r="D841" s="488"/>
      <c r="E841" s="488"/>
      <c r="F841" s="470"/>
      <c r="G841" s="488"/>
      <c r="H841" s="798"/>
      <c r="I841" s="484">
        <v>6600</v>
      </c>
      <c r="J841" s="488"/>
      <c r="K841" s="488"/>
      <c r="L841" s="488"/>
      <c r="M841" s="1194"/>
    </row>
    <row r="842" spans="1:13" ht="20.100000000000001" customHeight="1">
      <c r="A842" s="173"/>
      <c r="B842" s="170" t="s">
        <v>1543</v>
      </c>
      <c r="C842" s="490"/>
      <c r="D842" s="488"/>
      <c r="E842" s="488"/>
      <c r="F842" s="470"/>
      <c r="G842" s="488"/>
      <c r="H842" s="798"/>
      <c r="I842" s="484">
        <v>25000</v>
      </c>
      <c r="J842" s="488"/>
      <c r="K842" s="488"/>
      <c r="L842" s="488"/>
      <c r="M842" s="1194"/>
    </row>
    <row r="843" spans="1:13" ht="20.100000000000001" customHeight="1">
      <c r="A843" s="173"/>
      <c r="B843" s="170" t="s">
        <v>1544</v>
      </c>
      <c r="C843" s="490"/>
      <c r="D843" s="488"/>
      <c r="E843" s="488"/>
      <c r="F843" s="470"/>
      <c r="G843" s="488"/>
      <c r="H843" s="798"/>
      <c r="I843" s="484">
        <v>14400</v>
      </c>
      <c r="J843" s="488"/>
      <c r="K843" s="488"/>
      <c r="L843" s="488"/>
      <c r="M843" s="1194"/>
    </row>
    <row r="844" spans="1:13" ht="20.100000000000001" customHeight="1">
      <c r="A844" s="173"/>
      <c r="B844" s="170" t="s">
        <v>1552</v>
      </c>
      <c r="C844" s="490"/>
      <c r="D844" s="488"/>
      <c r="E844" s="488"/>
      <c r="F844" s="470"/>
      <c r="G844" s="488"/>
      <c r="H844" s="798"/>
      <c r="I844" s="488">
        <v>7200</v>
      </c>
      <c r="J844" s="488"/>
      <c r="K844" s="488"/>
      <c r="L844" s="488"/>
      <c r="M844" s="1194"/>
    </row>
    <row r="845" spans="1:13" ht="20.100000000000001" customHeight="1">
      <c r="A845" s="173"/>
      <c r="B845" s="170" t="s">
        <v>1553</v>
      </c>
      <c r="C845" s="490"/>
      <c r="D845" s="488"/>
      <c r="E845" s="488"/>
      <c r="F845" s="470"/>
      <c r="G845" s="488"/>
      <c r="H845" s="798"/>
      <c r="I845" s="488">
        <v>12000</v>
      </c>
      <c r="J845" s="488"/>
      <c r="K845" s="488"/>
      <c r="L845" s="488"/>
      <c r="M845" s="1194"/>
    </row>
    <row r="846" spans="1:13" ht="20.100000000000001" customHeight="1">
      <c r="A846" s="173"/>
      <c r="B846" s="170" t="s">
        <v>1554</v>
      </c>
      <c r="C846" s="490"/>
      <c r="D846" s="488"/>
      <c r="E846" s="488"/>
      <c r="F846" s="470"/>
      <c r="G846" s="488"/>
      <c r="H846" s="798"/>
      <c r="I846" s="488">
        <v>4500</v>
      </c>
      <c r="J846" s="488"/>
      <c r="K846" s="488"/>
      <c r="L846" s="488"/>
      <c r="M846" s="1183"/>
    </row>
    <row r="847" spans="1:13" ht="20.100000000000001" customHeight="1">
      <c r="A847" s="173"/>
      <c r="B847" s="170" t="s">
        <v>1555</v>
      </c>
      <c r="C847" s="490"/>
      <c r="D847" s="488"/>
      <c r="E847" s="488"/>
      <c r="F847" s="470"/>
      <c r="G847" s="488"/>
      <c r="H847" s="798"/>
      <c r="I847" s="488">
        <v>30000</v>
      </c>
      <c r="J847" s="488"/>
      <c r="K847" s="488"/>
      <c r="L847" s="488"/>
      <c r="M847" s="622" t="s">
        <v>1556</v>
      </c>
    </row>
    <row r="848" spans="1:13" ht="20.100000000000001" customHeight="1">
      <c r="A848" s="176">
        <v>8</v>
      </c>
      <c r="B848" s="785" t="s">
        <v>262</v>
      </c>
      <c r="C848" s="471"/>
      <c r="D848" s="472">
        <f>(D849+D856)</f>
        <v>184592.14199999999</v>
      </c>
      <c r="E848" s="472">
        <f>(E849+E856)</f>
        <v>184592.14199999999</v>
      </c>
      <c r="F848" s="466">
        <f t="shared" si="67"/>
        <v>184592.14199999999</v>
      </c>
      <c r="G848" s="472"/>
      <c r="H848" s="775"/>
      <c r="I848" s="472">
        <f>(I849+I856)</f>
        <v>300499.41200000001</v>
      </c>
      <c r="J848" s="472">
        <f>(J849+J856)</f>
        <v>198772.74900000001</v>
      </c>
      <c r="K848" s="472">
        <f>(K849+K856)</f>
        <v>198772.74900000001</v>
      </c>
      <c r="L848" s="472"/>
      <c r="M848" s="622"/>
    </row>
    <row r="849" spans="1:13" ht="20.100000000000001" customHeight="1">
      <c r="A849" s="173"/>
      <c r="B849" s="169" t="s">
        <v>377</v>
      </c>
      <c r="C849" s="471"/>
      <c r="D849" s="472">
        <f>(D850+D855)</f>
        <v>136592.14199999999</v>
      </c>
      <c r="E849" s="472">
        <f>(E850+E855)</f>
        <v>136592.14199999999</v>
      </c>
      <c r="F849" s="466">
        <f t="shared" si="67"/>
        <v>136592.14199999999</v>
      </c>
      <c r="G849" s="472"/>
      <c r="H849" s="775"/>
      <c r="I849" s="472">
        <f>(I850+I855)</f>
        <v>133919.41200000001</v>
      </c>
      <c r="J849" s="472">
        <f>(J850+J855)</f>
        <v>144772.74900000001</v>
      </c>
      <c r="K849" s="472">
        <f>(K850+K855)</f>
        <v>144772.74900000001</v>
      </c>
      <c r="L849" s="472"/>
      <c r="M849" s="622"/>
    </row>
    <row r="850" spans="1:13" ht="20.100000000000001" customHeight="1">
      <c r="A850" s="171"/>
      <c r="B850" s="169" t="s">
        <v>351</v>
      </c>
      <c r="C850" s="471"/>
      <c r="D850" s="472">
        <f>SUM(D851:D854)</f>
        <v>124931.53199999999</v>
      </c>
      <c r="E850" s="472">
        <f>SUM(E851:E854)</f>
        <v>124931.53199999999</v>
      </c>
      <c r="F850" s="466">
        <f t="shared" si="67"/>
        <v>124931.53199999999</v>
      </c>
      <c r="G850" s="472"/>
      <c r="H850" s="775"/>
      <c r="I850" s="472">
        <f>SUM(I851:I854)</f>
        <v>133919.41200000001</v>
      </c>
      <c r="J850" s="472">
        <f>SUM(J851:J854)</f>
        <v>133919.41200000001</v>
      </c>
      <c r="K850" s="472">
        <f>SUM(K851:K854)</f>
        <v>133919.41200000001</v>
      </c>
      <c r="L850" s="472"/>
      <c r="M850" s="622"/>
    </row>
    <row r="851" spans="1:13" ht="20.100000000000001" customHeight="1">
      <c r="A851" s="171"/>
      <c r="B851" s="170" t="s">
        <v>625</v>
      </c>
      <c r="C851" s="489">
        <v>2.5</v>
      </c>
      <c r="D851" s="488">
        <f>C851*1390*12</f>
        <v>41700</v>
      </c>
      <c r="E851" s="488">
        <f>D851</f>
        <v>41700</v>
      </c>
      <c r="F851" s="470">
        <f t="shared" si="67"/>
        <v>41700</v>
      </c>
      <c r="G851" s="488"/>
      <c r="H851" s="797">
        <v>2.5</v>
      </c>
      <c r="I851" s="488">
        <f>H851*1490*12</f>
        <v>44700</v>
      </c>
      <c r="J851" s="488">
        <f t="shared" ref="J851:K854" si="69">I851</f>
        <v>44700</v>
      </c>
      <c r="K851" s="488">
        <f t="shared" si="69"/>
        <v>44700</v>
      </c>
      <c r="L851" s="488"/>
      <c r="M851" s="622"/>
    </row>
    <row r="852" spans="1:13" ht="20.100000000000001" customHeight="1">
      <c r="A852" s="171"/>
      <c r="B852" s="170" t="s">
        <v>626</v>
      </c>
      <c r="C852" s="489">
        <v>2</v>
      </c>
      <c r="D852" s="488">
        <f>C852*1390*12</f>
        <v>33360</v>
      </c>
      <c r="E852" s="488">
        <f>D852</f>
        <v>33360</v>
      </c>
      <c r="F852" s="470">
        <f t="shared" si="67"/>
        <v>33360</v>
      </c>
      <c r="G852" s="488"/>
      <c r="H852" s="797">
        <v>2</v>
      </c>
      <c r="I852" s="488">
        <f>H852*1490*12</f>
        <v>35760</v>
      </c>
      <c r="J852" s="488">
        <f t="shared" si="69"/>
        <v>35760</v>
      </c>
      <c r="K852" s="488">
        <f t="shared" si="69"/>
        <v>35760</v>
      </c>
      <c r="L852" s="488"/>
      <c r="M852" s="622"/>
    </row>
    <row r="853" spans="1:13" ht="20.100000000000001" customHeight="1">
      <c r="A853" s="171"/>
      <c r="B853" s="170" t="s">
        <v>102</v>
      </c>
      <c r="C853" s="489">
        <f>2.34+0.1</f>
        <v>2.44</v>
      </c>
      <c r="D853" s="488">
        <f>C853*1390*12</f>
        <v>40699.199999999997</v>
      </c>
      <c r="E853" s="488">
        <f>D853</f>
        <v>40699.199999999997</v>
      </c>
      <c r="F853" s="470">
        <f t="shared" si="67"/>
        <v>40699.199999999997</v>
      </c>
      <c r="G853" s="488"/>
      <c r="H853" s="797">
        <f>2.34+0.1</f>
        <v>2.44</v>
      </c>
      <c r="I853" s="488">
        <f>H853*1490*12</f>
        <v>43627.199999999997</v>
      </c>
      <c r="J853" s="488">
        <f t="shared" si="69"/>
        <v>43627.199999999997</v>
      </c>
      <c r="K853" s="488">
        <f t="shared" si="69"/>
        <v>43627.199999999997</v>
      </c>
      <c r="L853" s="488"/>
      <c r="M853" s="622"/>
    </row>
    <row r="854" spans="1:13" ht="20.100000000000001" customHeight="1">
      <c r="A854" s="171"/>
      <c r="B854" s="170" t="s">
        <v>175</v>
      </c>
      <c r="C854" s="489">
        <f>2.34*23.5%</f>
        <v>0.54989999999999994</v>
      </c>
      <c r="D854" s="488">
        <f>C854*1390*12</f>
        <v>9172.3319999999985</v>
      </c>
      <c r="E854" s="488">
        <f>D854</f>
        <v>9172.3319999999985</v>
      </c>
      <c r="F854" s="470">
        <f t="shared" si="67"/>
        <v>9172.3319999999985</v>
      </c>
      <c r="G854" s="488"/>
      <c r="H854" s="797">
        <f>2.34*23.5%</f>
        <v>0.54989999999999994</v>
      </c>
      <c r="I854" s="488">
        <f>H854*1490*12</f>
        <v>9832.2119999999995</v>
      </c>
      <c r="J854" s="488">
        <f t="shared" si="69"/>
        <v>9832.2119999999995</v>
      </c>
      <c r="K854" s="488">
        <f t="shared" si="69"/>
        <v>9832.2119999999995</v>
      </c>
      <c r="L854" s="488"/>
      <c r="M854" s="622"/>
    </row>
    <row r="855" spans="1:13" ht="20.100000000000001" customHeight="1">
      <c r="A855" s="171"/>
      <c r="B855" s="169" t="s">
        <v>732</v>
      </c>
      <c r="C855" s="492"/>
      <c r="D855" s="491">
        <f>(C854+C853)*20/80*1300*12</f>
        <v>11660.61</v>
      </c>
      <c r="E855" s="491">
        <f>D855</f>
        <v>11660.61</v>
      </c>
      <c r="F855" s="466">
        <f t="shared" si="67"/>
        <v>11660.61</v>
      </c>
      <c r="G855" s="491"/>
      <c r="H855" s="799"/>
      <c r="I855" s="491"/>
      <c r="J855" s="491">
        <f>(H853+H854)*1210*20/80*12</f>
        <v>10853.337</v>
      </c>
      <c r="K855" s="491">
        <f>J855</f>
        <v>10853.337</v>
      </c>
      <c r="L855" s="491"/>
      <c r="M855" s="622"/>
    </row>
    <row r="856" spans="1:13" ht="20.100000000000001" customHeight="1">
      <c r="A856" s="171"/>
      <c r="B856" s="169" t="s">
        <v>380</v>
      </c>
      <c r="C856" s="471">
        <f t="shared" ref="C856:E856" si="70">SUM(C857:C861)</f>
        <v>0</v>
      </c>
      <c r="D856" s="472">
        <f t="shared" si="70"/>
        <v>48000</v>
      </c>
      <c r="E856" s="472">
        <f t="shared" si="70"/>
        <v>48000</v>
      </c>
      <c r="F856" s="466">
        <f t="shared" si="67"/>
        <v>48000</v>
      </c>
      <c r="G856" s="472"/>
      <c r="H856" s="775"/>
      <c r="I856" s="472">
        <f>SUM(I857:I870)</f>
        <v>166580</v>
      </c>
      <c r="J856" s="472">
        <v>54000</v>
      </c>
      <c r="K856" s="472">
        <v>54000</v>
      </c>
      <c r="L856" s="472"/>
      <c r="M856" s="622"/>
    </row>
    <row r="857" spans="1:13" ht="20.100000000000001" customHeight="1">
      <c r="A857" s="173"/>
      <c r="B857" s="170" t="s">
        <v>1557</v>
      </c>
      <c r="C857" s="490"/>
      <c r="D857" s="488">
        <v>13500</v>
      </c>
      <c r="E857" s="488">
        <v>13500</v>
      </c>
      <c r="F857" s="470">
        <f t="shared" si="67"/>
        <v>13500</v>
      </c>
      <c r="G857" s="488"/>
      <c r="H857" s="798"/>
      <c r="I857" s="488"/>
      <c r="J857" s="488"/>
      <c r="K857" s="488"/>
      <c r="L857" s="488"/>
      <c r="M857" s="1182" t="s">
        <v>229</v>
      </c>
    </row>
    <row r="858" spans="1:13" ht="20.100000000000001" customHeight="1">
      <c r="A858" s="173"/>
      <c r="B858" s="170" t="s">
        <v>1558</v>
      </c>
      <c r="C858" s="490"/>
      <c r="D858" s="488">
        <v>4500</v>
      </c>
      <c r="E858" s="488">
        <v>4500</v>
      </c>
      <c r="F858" s="470">
        <f t="shared" si="67"/>
        <v>4500</v>
      </c>
      <c r="G858" s="488"/>
      <c r="H858" s="798"/>
      <c r="I858" s="488"/>
      <c r="J858" s="488"/>
      <c r="K858" s="488"/>
      <c r="L858" s="488"/>
      <c r="M858" s="1194"/>
    </row>
    <row r="859" spans="1:13" ht="20.100000000000001" customHeight="1">
      <c r="A859" s="171"/>
      <c r="B859" s="170" t="s">
        <v>742</v>
      </c>
      <c r="C859" s="490"/>
      <c r="D859" s="488">
        <v>10000</v>
      </c>
      <c r="E859" s="488">
        <v>10000</v>
      </c>
      <c r="F859" s="470">
        <f t="shared" si="67"/>
        <v>10000</v>
      </c>
      <c r="G859" s="488"/>
      <c r="H859" s="798"/>
      <c r="I859" s="488"/>
      <c r="J859" s="488"/>
      <c r="K859" s="488"/>
      <c r="L859" s="488"/>
      <c r="M859" s="1194"/>
    </row>
    <row r="860" spans="1:13" ht="20.100000000000001" customHeight="1">
      <c r="A860" s="173"/>
      <c r="B860" s="170" t="s">
        <v>1559</v>
      </c>
      <c r="C860" s="490"/>
      <c r="D860" s="488">
        <v>10000</v>
      </c>
      <c r="E860" s="488">
        <v>10000</v>
      </c>
      <c r="F860" s="470">
        <f t="shared" si="67"/>
        <v>10000</v>
      </c>
      <c r="G860" s="488"/>
      <c r="H860" s="798"/>
      <c r="I860" s="488"/>
      <c r="J860" s="488"/>
      <c r="K860" s="488"/>
      <c r="L860" s="488"/>
      <c r="M860" s="1194"/>
    </row>
    <row r="861" spans="1:13" ht="20.100000000000001" customHeight="1">
      <c r="A861" s="173"/>
      <c r="B861" s="170" t="s">
        <v>627</v>
      </c>
      <c r="C861" s="490"/>
      <c r="D861" s="488">
        <v>10000</v>
      </c>
      <c r="E861" s="488">
        <v>10000</v>
      </c>
      <c r="F861" s="470">
        <f t="shared" si="67"/>
        <v>10000</v>
      </c>
      <c r="G861" s="488"/>
      <c r="H861" s="798"/>
      <c r="I861" s="488"/>
      <c r="J861" s="488"/>
      <c r="K861" s="488"/>
      <c r="L861" s="488"/>
      <c r="M861" s="1194"/>
    </row>
    <row r="862" spans="1:13" ht="20.100000000000001" customHeight="1">
      <c r="A862" s="173"/>
      <c r="B862" s="170" t="s">
        <v>1551</v>
      </c>
      <c r="C862" s="490"/>
      <c r="D862" s="488"/>
      <c r="E862" s="488"/>
      <c r="F862" s="470"/>
      <c r="G862" s="488"/>
      <c r="H862" s="798"/>
      <c r="I862" s="484">
        <v>7500</v>
      </c>
      <c r="J862" s="488"/>
      <c r="K862" s="488"/>
      <c r="L862" s="488"/>
      <c r="M862" s="1194"/>
    </row>
    <row r="863" spans="1:13" ht="20.100000000000001" customHeight="1">
      <c r="A863" s="173"/>
      <c r="B863" s="170" t="s">
        <v>1539</v>
      </c>
      <c r="C863" s="490"/>
      <c r="D863" s="488"/>
      <c r="E863" s="488"/>
      <c r="F863" s="470"/>
      <c r="G863" s="488"/>
      <c r="H863" s="798"/>
      <c r="I863" s="484">
        <v>5400</v>
      </c>
      <c r="J863" s="488"/>
      <c r="K863" s="488"/>
      <c r="L863" s="488"/>
      <c r="M863" s="1194"/>
    </row>
    <row r="864" spans="1:13" ht="20.100000000000001" customHeight="1">
      <c r="A864" s="173"/>
      <c r="B864" s="170" t="s">
        <v>1540</v>
      </c>
      <c r="C864" s="490"/>
      <c r="D864" s="488"/>
      <c r="E864" s="488"/>
      <c r="F864" s="470"/>
      <c r="G864" s="488"/>
      <c r="H864" s="798"/>
      <c r="I864" s="484">
        <v>14400</v>
      </c>
      <c r="J864" s="488"/>
      <c r="K864" s="488"/>
      <c r="L864" s="488"/>
      <c r="M864" s="1194"/>
    </row>
    <row r="865" spans="1:14" ht="20.100000000000001" customHeight="1">
      <c r="A865" s="173"/>
      <c r="B865" s="170" t="s">
        <v>1541</v>
      </c>
      <c r="C865" s="490"/>
      <c r="D865" s="488"/>
      <c r="E865" s="488"/>
      <c r="F865" s="470"/>
      <c r="G865" s="488"/>
      <c r="H865" s="798"/>
      <c r="I865" s="484">
        <v>4800</v>
      </c>
      <c r="J865" s="488"/>
      <c r="K865" s="488"/>
      <c r="L865" s="488"/>
      <c r="M865" s="1194"/>
    </row>
    <row r="866" spans="1:14" ht="20.100000000000001" customHeight="1">
      <c r="A866" s="173"/>
      <c r="B866" s="170" t="s">
        <v>1542</v>
      </c>
      <c r="C866" s="490"/>
      <c r="D866" s="488"/>
      <c r="E866" s="488"/>
      <c r="F866" s="470"/>
      <c r="G866" s="488"/>
      <c r="H866" s="798"/>
      <c r="I866" s="484">
        <v>8580</v>
      </c>
      <c r="J866" s="488"/>
      <c r="K866" s="488"/>
      <c r="L866" s="488"/>
      <c r="M866" s="1194"/>
    </row>
    <row r="867" spans="1:14" ht="20.100000000000001" customHeight="1">
      <c r="A867" s="173"/>
      <c r="B867" s="170" t="s">
        <v>1560</v>
      </c>
      <c r="C867" s="490"/>
      <c r="D867" s="488"/>
      <c r="E867" s="488"/>
      <c r="F867" s="470"/>
      <c r="G867" s="488"/>
      <c r="H867" s="798"/>
      <c r="I867" s="484">
        <v>38500</v>
      </c>
      <c r="J867" s="488"/>
      <c r="K867" s="488"/>
      <c r="L867" s="488"/>
      <c r="M867" s="1194"/>
    </row>
    <row r="868" spans="1:14" ht="20.100000000000001" customHeight="1">
      <c r="A868" s="173"/>
      <c r="B868" s="170" t="s">
        <v>1544</v>
      </c>
      <c r="C868" s="490"/>
      <c r="D868" s="488"/>
      <c r="E868" s="488"/>
      <c r="F868" s="470"/>
      <c r="G868" s="488"/>
      <c r="H868" s="798"/>
      <c r="I868" s="484">
        <v>20400</v>
      </c>
      <c r="J868" s="488"/>
      <c r="K868" s="488"/>
      <c r="L868" s="488"/>
      <c r="M868" s="1194"/>
    </row>
    <row r="869" spans="1:14" ht="20.100000000000001" customHeight="1">
      <c r="A869" s="173"/>
      <c r="B869" s="170" t="s">
        <v>1561</v>
      </c>
      <c r="C869" s="490"/>
      <c r="D869" s="488"/>
      <c r="E869" s="488"/>
      <c r="F869" s="470"/>
      <c r="G869" s="488"/>
      <c r="H869" s="798"/>
      <c r="I869" s="488">
        <v>62500</v>
      </c>
      <c r="J869" s="488"/>
      <c r="K869" s="488"/>
      <c r="L869" s="488"/>
      <c r="M869" s="1194"/>
    </row>
    <row r="870" spans="1:14" ht="20.100000000000001" customHeight="1">
      <c r="A870" s="173"/>
      <c r="B870" s="170" t="s">
        <v>1554</v>
      </c>
      <c r="C870" s="490"/>
      <c r="D870" s="488"/>
      <c r="E870" s="488"/>
      <c r="F870" s="470"/>
      <c r="G870" s="488"/>
      <c r="H870" s="798"/>
      <c r="I870" s="488">
        <v>4500</v>
      </c>
      <c r="J870" s="488"/>
      <c r="K870" s="758"/>
      <c r="L870" s="758"/>
      <c r="M870" s="1183"/>
    </row>
    <row r="871" spans="1:14" ht="20.100000000000001" customHeight="1">
      <c r="A871" s="171">
        <v>9</v>
      </c>
      <c r="B871" s="169" t="s">
        <v>224</v>
      </c>
      <c r="C871" s="492"/>
      <c r="D871" s="491">
        <v>20000</v>
      </c>
      <c r="E871" s="491">
        <v>20000</v>
      </c>
      <c r="F871" s="466">
        <f t="shared" si="67"/>
        <v>20000</v>
      </c>
      <c r="G871" s="491"/>
      <c r="H871" s="799"/>
      <c r="I871" s="491">
        <v>20000</v>
      </c>
      <c r="J871" s="491">
        <v>20000</v>
      </c>
      <c r="K871" s="491">
        <v>20000</v>
      </c>
      <c r="L871" s="491"/>
      <c r="M871" s="622"/>
    </row>
    <row r="872" spans="1:14" ht="20.100000000000001" customHeight="1">
      <c r="A872" s="171">
        <v>10</v>
      </c>
      <c r="B872" s="169" t="s">
        <v>354</v>
      </c>
      <c r="C872" s="492"/>
      <c r="D872" s="491">
        <v>40000</v>
      </c>
      <c r="E872" s="491">
        <v>40000</v>
      </c>
      <c r="F872" s="466">
        <f t="shared" si="67"/>
        <v>40000</v>
      </c>
      <c r="G872" s="491"/>
      <c r="H872" s="799"/>
      <c r="I872" s="491">
        <v>40000</v>
      </c>
      <c r="J872" s="491">
        <v>40000</v>
      </c>
      <c r="K872" s="491">
        <v>40000</v>
      </c>
      <c r="L872" s="491"/>
      <c r="M872" s="634"/>
    </row>
    <row r="873" spans="1:14" ht="20.100000000000001" customHeight="1">
      <c r="A873" s="171">
        <v>11</v>
      </c>
      <c r="B873" s="169" t="s">
        <v>1562</v>
      </c>
      <c r="C873" s="492"/>
      <c r="D873" s="491">
        <v>71000</v>
      </c>
      <c r="E873" s="491">
        <f>D873</f>
        <v>71000</v>
      </c>
      <c r="F873" s="466">
        <f t="shared" si="67"/>
        <v>71000</v>
      </c>
      <c r="G873" s="491"/>
      <c r="H873" s="799"/>
      <c r="I873" s="491">
        <f>I874+I875</f>
        <v>116220</v>
      </c>
      <c r="J873" s="491">
        <f>J874+J875</f>
        <v>116220</v>
      </c>
      <c r="K873" s="491">
        <f>K874+K875</f>
        <v>116220</v>
      </c>
      <c r="L873" s="491"/>
      <c r="M873" s="622"/>
    </row>
    <row r="874" spans="1:14" ht="20.100000000000001" customHeight="1">
      <c r="A874" s="171"/>
      <c r="B874" s="170" t="s">
        <v>1563</v>
      </c>
      <c r="C874" s="492"/>
      <c r="D874" s="491"/>
      <c r="E874" s="491"/>
      <c r="F874" s="466"/>
      <c r="G874" s="491"/>
      <c r="H874" s="838">
        <v>2.5</v>
      </c>
      <c r="I874" s="488">
        <f>H874*1490*12</f>
        <v>44700</v>
      </c>
      <c r="J874" s="488">
        <f>I874</f>
        <v>44700</v>
      </c>
      <c r="K874" s="488">
        <f>J874</f>
        <v>44700</v>
      </c>
      <c r="L874" s="488"/>
      <c r="M874" s="622"/>
    </row>
    <row r="875" spans="1:14" ht="20.100000000000001" customHeight="1">
      <c r="A875" s="171"/>
      <c r="B875" s="170" t="s">
        <v>1564</v>
      </c>
      <c r="C875" s="492"/>
      <c r="D875" s="491"/>
      <c r="E875" s="491"/>
      <c r="F875" s="466"/>
      <c r="G875" s="491"/>
      <c r="H875" s="838">
        <v>4</v>
      </c>
      <c r="I875" s="488">
        <f>H875*1490*12</f>
        <v>71520</v>
      </c>
      <c r="J875" s="488">
        <f>I875</f>
        <v>71520</v>
      </c>
      <c r="K875" s="488">
        <f>J875</f>
        <v>71520</v>
      </c>
      <c r="L875" s="488"/>
      <c r="M875" s="622"/>
    </row>
    <row r="876" spans="1:14" ht="20.100000000000001" customHeight="1">
      <c r="A876" s="171">
        <v>12</v>
      </c>
      <c r="B876" s="169" t="s">
        <v>222</v>
      </c>
      <c r="C876" s="492"/>
      <c r="D876" s="491">
        <v>20000</v>
      </c>
      <c r="E876" s="491">
        <f>D876</f>
        <v>20000</v>
      </c>
      <c r="F876" s="466">
        <f t="shared" si="67"/>
        <v>20000</v>
      </c>
      <c r="G876" s="491"/>
      <c r="H876" s="799"/>
      <c r="I876" s="491"/>
      <c r="J876" s="491"/>
      <c r="K876" s="491"/>
      <c r="L876" s="491"/>
      <c r="M876" s="622"/>
    </row>
    <row r="877" spans="1:14" ht="20.100000000000001" customHeight="1">
      <c r="A877" s="171">
        <v>13</v>
      </c>
      <c r="B877" s="169" t="s">
        <v>223</v>
      </c>
      <c r="C877" s="492"/>
      <c r="D877" s="491">
        <v>71000</v>
      </c>
      <c r="E877" s="491">
        <f>D877</f>
        <v>71000</v>
      </c>
      <c r="F877" s="466">
        <f t="shared" si="67"/>
        <v>71000</v>
      </c>
      <c r="G877" s="491"/>
      <c r="H877" s="799"/>
      <c r="I877" s="491">
        <f>I878+I879</f>
        <v>80460</v>
      </c>
      <c r="J877" s="491">
        <f>J878+J879</f>
        <v>80460</v>
      </c>
      <c r="K877" s="491">
        <f>K878+K879</f>
        <v>80460</v>
      </c>
      <c r="L877" s="491"/>
      <c r="M877" s="622"/>
      <c r="N877" s="116" t="e">
        <f>#REF!+#REF!+#REF!+#REF!</f>
        <v>#REF!</v>
      </c>
    </row>
    <row r="878" spans="1:14" ht="20.100000000000001" customHeight="1">
      <c r="A878" s="171"/>
      <c r="B878" s="170" t="s">
        <v>1563</v>
      </c>
      <c r="C878" s="492"/>
      <c r="D878" s="491"/>
      <c r="E878" s="491"/>
      <c r="F878" s="466"/>
      <c r="G878" s="491"/>
      <c r="H878" s="838">
        <v>2.5</v>
      </c>
      <c r="I878" s="488">
        <f>H878*1490*12</f>
        <v>44700</v>
      </c>
      <c r="J878" s="488">
        <f>I878</f>
        <v>44700</v>
      </c>
      <c r="K878" s="488">
        <f>J878</f>
        <v>44700</v>
      </c>
      <c r="L878" s="488"/>
      <c r="M878" s="622"/>
    </row>
    <row r="879" spans="1:14" ht="20.100000000000001" customHeight="1">
      <c r="A879" s="171"/>
      <c r="B879" s="170" t="s">
        <v>1565</v>
      </c>
      <c r="C879" s="492"/>
      <c r="D879" s="491"/>
      <c r="E879" s="491"/>
      <c r="F879" s="466"/>
      <c r="G879" s="491"/>
      <c r="H879" s="838">
        <v>2</v>
      </c>
      <c r="I879" s="488">
        <f>H879*1490*12</f>
        <v>35760</v>
      </c>
      <c r="J879" s="488">
        <f>I879</f>
        <v>35760</v>
      </c>
      <c r="K879" s="488">
        <f>J879</f>
        <v>35760</v>
      </c>
      <c r="L879" s="488"/>
      <c r="M879" s="622"/>
    </row>
    <row r="880" spans="1:14" ht="20.100000000000001" customHeight="1">
      <c r="A880" s="171">
        <v>14</v>
      </c>
      <c r="B880" s="169" t="s">
        <v>574</v>
      </c>
      <c r="C880" s="492"/>
      <c r="D880" s="491">
        <v>20000</v>
      </c>
      <c r="E880" s="491">
        <f>D880</f>
        <v>20000</v>
      </c>
      <c r="F880" s="466">
        <f t="shared" si="67"/>
        <v>20000</v>
      </c>
      <c r="G880" s="491"/>
      <c r="H880" s="799"/>
      <c r="I880" s="491">
        <v>20000</v>
      </c>
      <c r="J880" s="491">
        <v>20000</v>
      </c>
      <c r="K880" s="491">
        <v>20000</v>
      </c>
      <c r="L880" s="491"/>
      <c r="M880" s="622"/>
    </row>
    <row r="881" spans="1:13" ht="20.100000000000001" customHeight="1">
      <c r="A881" s="171">
        <v>15</v>
      </c>
      <c r="B881" s="169" t="s">
        <v>542</v>
      </c>
      <c r="C881" s="492"/>
      <c r="D881" s="491">
        <v>20000</v>
      </c>
      <c r="E881" s="491">
        <f>D881</f>
        <v>20000</v>
      </c>
      <c r="F881" s="466">
        <f t="shared" si="67"/>
        <v>20000</v>
      </c>
      <c r="G881" s="491"/>
      <c r="H881" s="799"/>
      <c r="I881" s="491">
        <v>20000</v>
      </c>
      <c r="J881" s="491">
        <v>20000</v>
      </c>
      <c r="K881" s="491">
        <v>20000</v>
      </c>
      <c r="L881" s="491"/>
      <c r="M881" s="622"/>
    </row>
    <row r="882" spans="1:13" ht="20.100000000000001" customHeight="1">
      <c r="A882" s="171">
        <v>16</v>
      </c>
      <c r="B882" s="169" t="s">
        <v>397</v>
      </c>
      <c r="C882" s="492"/>
      <c r="D882" s="491">
        <v>20000</v>
      </c>
      <c r="E882" s="491">
        <f>D882</f>
        <v>20000</v>
      </c>
      <c r="F882" s="466">
        <f t="shared" si="67"/>
        <v>20000</v>
      </c>
      <c r="G882" s="491"/>
      <c r="H882" s="799"/>
      <c r="I882" s="491">
        <v>20000</v>
      </c>
      <c r="J882" s="491">
        <v>20000</v>
      </c>
      <c r="K882" s="491">
        <v>20000</v>
      </c>
      <c r="L882" s="491"/>
      <c r="M882" s="622"/>
    </row>
    <row r="883" spans="1:13" ht="20.100000000000001" customHeight="1">
      <c r="A883" s="171">
        <v>17</v>
      </c>
      <c r="B883" s="169" t="s">
        <v>543</v>
      </c>
      <c r="C883" s="492"/>
      <c r="D883" s="491">
        <v>20000</v>
      </c>
      <c r="E883" s="491">
        <f>D883</f>
        <v>20000</v>
      </c>
      <c r="F883" s="466">
        <f t="shared" si="67"/>
        <v>20000</v>
      </c>
      <c r="G883" s="491"/>
      <c r="H883" s="799"/>
      <c r="I883" s="491">
        <v>20000</v>
      </c>
      <c r="J883" s="491">
        <v>20000</v>
      </c>
      <c r="K883" s="491">
        <v>20000</v>
      </c>
      <c r="L883" s="491"/>
      <c r="M883" s="622"/>
    </row>
    <row r="884" spans="1:13" ht="20.100000000000001" customHeight="1">
      <c r="A884" s="171" t="s">
        <v>26</v>
      </c>
      <c r="B884" s="169" t="s">
        <v>358</v>
      </c>
      <c r="C884" s="471">
        <f t="shared" ref="C884:E884" si="71">(C885+C905)</f>
        <v>0</v>
      </c>
      <c r="D884" s="472">
        <f t="shared" si="71"/>
        <v>4107772</v>
      </c>
      <c r="E884" s="472">
        <f t="shared" si="71"/>
        <v>2860498</v>
      </c>
      <c r="F884" s="466">
        <f t="shared" si="67"/>
        <v>2860498</v>
      </c>
      <c r="G884" s="472"/>
      <c r="H884" s="775"/>
      <c r="I884" s="472">
        <f>(I885+I905)</f>
        <v>5386074</v>
      </c>
      <c r="J884" s="472">
        <f>(J885+J905)</f>
        <v>4224654</v>
      </c>
      <c r="K884" s="472">
        <f>(K885+K905)</f>
        <v>4224654</v>
      </c>
      <c r="L884" s="472"/>
      <c r="M884" s="622"/>
    </row>
    <row r="885" spans="1:13" ht="20.100000000000001" customHeight="1">
      <c r="A885" s="171">
        <v>1</v>
      </c>
      <c r="B885" s="169" t="s">
        <v>359</v>
      </c>
      <c r="C885" s="471">
        <f>SUM(C886:C900)</f>
        <v>0</v>
      </c>
      <c r="D885" s="472">
        <f>SUM(D886:D902)</f>
        <v>2728772</v>
      </c>
      <c r="E885" s="472">
        <f>SUM(E886:E902)</f>
        <v>1986498</v>
      </c>
      <c r="F885" s="466">
        <f t="shared" si="67"/>
        <v>1986498</v>
      </c>
      <c r="G885" s="472"/>
      <c r="H885" s="775"/>
      <c r="I885" s="472">
        <f>SUM(I886:I903)</f>
        <v>3342074</v>
      </c>
      <c r="J885" s="472">
        <f>SUM(J886:J904)</f>
        <v>2973654</v>
      </c>
      <c r="K885" s="472">
        <f>SUM(K886:K904)</f>
        <v>2973654</v>
      </c>
      <c r="L885" s="472"/>
      <c r="M885" s="622"/>
    </row>
    <row r="886" spans="1:13" ht="20.100000000000001" customHeight="1">
      <c r="A886" s="171"/>
      <c r="B886" s="170" t="s">
        <v>1566</v>
      </c>
      <c r="C886" s="490"/>
      <c r="D886" s="488">
        <f>599311</f>
        <v>599311</v>
      </c>
      <c r="E886" s="488">
        <v>350340</v>
      </c>
      <c r="F886" s="470">
        <f t="shared" si="67"/>
        <v>350340</v>
      </c>
      <c r="G886" s="488"/>
      <c r="H886" s="798"/>
      <c r="I886" s="488">
        <v>373052</v>
      </c>
      <c r="J886" s="488">
        <v>350340</v>
      </c>
      <c r="K886" s="488">
        <v>350340</v>
      </c>
      <c r="L886" s="488"/>
      <c r="M886" s="623" t="s">
        <v>1567</v>
      </c>
    </row>
    <row r="887" spans="1:13" ht="20.100000000000001" customHeight="1">
      <c r="A887" s="171"/>
      <c r="B887" s="170" t="s">
        <v>1568</v>
      </c>
      <c r="C887" s="490"/>
      <c r="D887" s="488">
        <v>35000</v>
      </c>
      <c r="E887" s="488">
        <v>25000</v>
      </c>
      <c r="F887" s="470">
        <f t="shared" si="67"/>
        <v>25000</v>
      </c>
      <c r="G887" s="488"/>
      <c r="H887" s="798"/>
      <c r="I887" s="488">
        <v>132500</v>
      </c>
      <c r="J887" s="488">
        <v>113580</v>
      </c>
      <c r="K887" s="488">
        <v>113580</v>
      </c>
      <c r="L887" s="488"/>
      <c r="M887" s="761" t="s">
        <v>1569</v>
      </c>
    </row>
    <row r="888" spans="1:13" ht="20.100000000000001" customHeight="1">
      <c r="A888" s="171"/>
      <c r="B888" s="170" t="s">
        <v>1570</v>
      </c>
      <c r="C888" s="490"/>
      <c r="D888" s="488">
        <v>90500</v>
      </c>
      <c r="E888" s="488">
        <v>40000</v>
      </c>
      <c r="F888" s="470">
        <f t="shared" si="67"/>
        <v>40000</v>
      </c>
      <c r="G888" s="488"/>
      <c r="H888" s="798"/>
      <c r="I888" s="488">
        <f>189000+10000</f>
        <v>199000</v>
      </c>
      <c r="J888" s="488">
        <v>98000</v>
      </c>
      <c r="K888" s="488">
        <v>98000</v>
      </c>
      <c r="L888" s="488"/>
      <c r="M888" s="634" t="s">
        <v>1571</v>
      </c>
    </row>
    <row r="889" spans="1:13" ht="20.100000000000001" customHeight="1">
      <c r="A889" s="171"/>
      <c r="B889" s="170" t="s">
        <v>1572</v>
      </c>
      <c r="C889" s="490"/>
      <c r="D889" s="488">
        <v>550843</v>
      </c>
      <c r="E889" s="488">
        <v>512600</v>
      </c>
      <c r="F889" s="470">
        <f t="shared" si="67"/>
        <v>512600</v>
      </c>
      <c r="G889" s="488"/>
      <c r="H889" s="798"/>
      <c r="I889" s="488">
        <v>639122</v>
      </c>
      <c r="J889" s="488">
        <v>556174</v>
      </c>
      <c r="K889" s="488">
        <v>556174</v>
      </c>
      <c r="L889" s="488"/>
      <c r="M889" s="761" t="s">
        <v>1573</v>
      </c>
    </row>
    <row r="890" spans="1:13" ht="20.100000000000001" customHeight="1">
      <c r="A890" s="171"/>
      <c r="B890" s="170" t="s">
        <v>1111</v>
      </c>
      <c r="C890" s="490"/>
      <c r="D890" s="488">
        <v>55000</v>
      </c>
      <c r="E890" s="488">
        <v>30000</v>
      </c>
      <c r="F890" s="470">
        <f t="shared" si="67"/>
        <v>30000</v>
      </c>
      <c r="G890" s="488"/>
      <c r="H890" s="798"/>
      <c r="I890" s="488">
        <v>30000</v>
      </c>
      <c r="J890" s="488">
        <v>30000</v>
      </c>
      <c r="K890" s="488">
        <v>30000</v>
      </c>
      <c r="L890" s="488"/>
      <c r="M890" s="622"/>
    </row>
    <row r="891" spans="1:13" ht="20.100000000000001" customHeight="1">
      <c r="A891" s="171"/>
      <c r="B891" s="170" t="s">
        <v>1112</v>
      </c>
      <c r="C891" s="490"/>
      <c r="D891" s="488">
        <v>63000</v>
      </c>
      <c r="E891" s="488">
        <v>20000</v>
      </c>
      <c r="F891" s="470">
        <f t="shared" si="67"/>
        <v>20000</v>
      </c>
      <c r="G891" s="488"/>
      <c r="H891" s="798"/>
      <c r="I891" s="488">
        <v>20000</v>
      </c>
      <c r="J891" s="488">
        <v>20000</v>
      </c>
      <c r="K891" s="488">
        <v>20000</v>
      </c>
      <c r="L891" s="488"/>
      <c r="M891" s="622"/>
    </row>
    <row r="892" spans="1:13" ht="20.100000000000001" customHeight="1">
      <c r="A892" s="171"/>
      <c r="B892" s="170" t="s">
        <v>1574</v>
      </c>
      <c r="C892" s="490"/>
      <c r="D892" s="488">
        <v>129360</v>
      </c>
      <c r="E892" s="488">
        <v>100000</v>
      </c>
      <c r="F892" s="470">
        <f t="shared" si="67"/>
        <v>100000</v>
      </c>
      <c r="G892" s="488"/>
      <c r="H892" s="798"/>
      <c r="I892" s="488">
        <v>262750</v>
      </c>
      <c r="J892" s="488">
        <v>138250</v>
      </c>
      <c r="K892" s="488">
        <v>138250</v>
      </c>
      <c r="L892" s="488"/>
      <c r="M892" s="170" t="s">
        <v>1575</v>
      </c>
    </row>
    <row r="893" spans="1:13" ht="20.100000000000001" customHeight="1">
      <c r="A893" s="171"/>
      <c r="B893" s="170" t="s">
        <v>682</v>
      </c>
      <c r="C893" s="490"/>
      <c r="D893" s="488">
        <v>60000</v>
      </c>
      <c r="E893" s="488">
        <v>35000</v>
      </c>
      <c r="F893" s="470">
        <f t="shared" si="67"/>
        <v>35000</v>
      </c>
      <c r="G893" s="488"/>
      <c r="H893" s="798"/>
      <c r="I893" s="488">
        <v>80000</v>
      </c>
      <c r="J893" s="488">
        <v>35000</v>
      </c>
      <c r="K893" s="488">
        <v>35000</v>
      </c>
      <c r="L893" s="488"/>
      <c r="M893" s="622"/>
    </row>
    <row r="894" spans="1:13" ht="20.100000000000001" customHeight="1">
      <c r="A894" s="171"/>
      <c r="B894" s="170" t="s">
        <v>770</v>
      </c>
      <c r="C894" s="490"/>
      <c r="D894" s="488">
        <v>125799</v>
      </c>
      <c r="E894" s="488">
        <v>125799</v>
      </c>
      <c r="F894" s="470">
        <f t="shared" si="67"/>
        <v>125799</v>
      </c>
      <c r="G894" s="488"/>
      <c r="H894" s="798"/>
      <c r="I894" s="488">
        <v>131716</v>
      </c>
      <c r="J894" s="488">
        <v>131716</v>
      </c>
      <c r="K894" s="488">
        <v>131716</v>
      </c>
      <c r="L894" s="488"/>
      <c r="M894" s="622"/>
    </row>
    <row r="895" spans="1:13" ht="20.100000000000001" customHeight="1">
      <c r="A895" s="171"/>
      <c r="B895" s="170" t="s">
        <v>683</v>
      </c>
      <c r="C895" s="490"/>
      <c r="D895" s="488">
        <v>15000</v>
      </c>
      <c r="E895" s="488">
        <v>15000</v>
      </c>
      <c r="F895" s="470">
        <f t="shared" si="67"/>
        <v>15000</v>
      </c>
      <c r="G895" s="488"/>
      <c r="H895" s="798"/>
      <c r="I895" s="488">
        <v>15000</v>
      </c>
      <c r="J895" s="488">
        <v>15000</v>
      </c>
      <c r="K895" s="488">
        <v>15000</v>
      </c>
      <c r="L895" s="488"/>
      <c r="M895" s="622"/>
    </row>
    <row r="896" spans="1:13" ht="20.100000000000001" customHeight="1">
      <c r="A896" s="171"/>
      <c r="B896" s="170" t="s">
        <v>360</v>
      </c>
      <c r="C896" s="490"/>
      <c r="D896" s="488">
        <v>45000</v>
      </c>
      <c r="E896" s="488">
        <v>20000</v>
      </c>
      <c r="F896" s="470">
        <f t="shared" si="67"/>
        <v>20000</v>
      </c>
      <c r="G896" s="488"/>
      <c r="H896" s="798"/>
      <c r="I896" s="488">
        <v>25000</v>
      </c>
      <c r="J896" s="488">
        <v>20000</v>
      </c>
      <c r="K896" s="488">
        <v>20000</v>
      </c>
      <c r="L896" s="488"/>
      <c r="M896" s="622"/>
    </row>
    <row r="897" spans="1:13" ht="20.100000000000001" customHeight="1">
      <c r="A897" s="171"/>
      <c r="B897" s="170" t="s">
        <v>1114</v>
      </c>
      <c r="C897" s="490"/>
      <c r="D897" s="488">
        <v>86400</v>
      </c>
      <c r="E897" s="488"/>
      <c r="F897" s="470">
        <f t="shared" si="67"/>
        <v>0</v>
      </c>
      <c r="G897" s="488"/>
      <c r="H897" s="798"/>
      <c r="I897" s="488"/>
      <c r="J897" s="488"/>
      <c r="K897" s="488"/>
      <c r="L897" s="488"/>
      <c r="M897" s="622"/>
    </row>
    <row r="898" spans="1:13" ht="20.100000000000001" customHeight="1">
      <c r="A898" s="171"/>
      <c r="B898" s="170" t="s">
        <v>628</v>
      </c>
      <c r="C898" s="490"/>
      <c r="D898" s="488">
        <v>20000</v>
      </c>
      <c r="E898" s="488">
        <v>20000</v>
      </c>
      <c r="F898" s="470">
        <f t="shared" si="67"/>
        <v>20000</v>
      </c>
      <c r="G898" s="488"/>
      <c r="H898" s="798"/>
      <c r="I898" s="488">
        <v>20000</v>
      </c>
      <c r="J898" s="488">
        <v>20000</v>
      </c>
      <c r="K898" s="488">
        <v>20000</v>
      </c>
      <c r="L898" s="488"/>
      <c r="M898" s="622"/>
    </row>
    <row r="899" spans="1:13" ht="20.100000000000001" customHeight="1">
      <c r="A899" s="173"/>
      <c r="B899" s="222" t="s">
        <v>425</v>
      </c>
      <c r="C899" s="490"/>
      <c r="D899" s="488">
        <v>24000</v>
      </c>
      <c r="E899" s="488">
        <v>24000</v>
      </c>
      <c r="F899" s="470">
        <f t="shared" si="67"/>
        <v>24000</v>
      </c>
      <c r="G899" s="488"/>
      <c r="H899" s="798"/>
      <c r="I899" s="488">
        <v>24000</v>
      </c>
      <c r="J899" s="488">
        <v>36000</v>
      </c>
      <c r="K899" s="488">
        <v>36000</v>
      </c>
      <c r="L899" s="488"/>
      <c r="M899" s="622"/>
    </row>
    <row r="900" spans="1:13" ht="20.100000000000001" customHeight="1">
      <c r="A900" s="171"/>
      <c r="B900" s="568" t="s">
        <v>1576</v>
      </c>
      <c r="C900" s="490"/>
      <c r="D900" s="488">
        <v>380424</v>
      </c>
      <c r="E900" s="488">
        <v>380424</v>
      </c>
      <c r="F900" s="470">
        <f t="shared" si="67"/>
        <v>380424</v>
      </c>
      <c r="G900" s="488"/>
      <c r="H900" s="798"/>
      <c r="I900" s="488">
        <v>799594</v>
      </c>
      <c r="J900" s="488">
        <v>799594</v>
      </c>
      <c r="K900" s="488">
        <v>799594</v>
      </c>
      <c r="L900" s="488"/>
      <c r="M900" s="622"/>
    </row>
    <row r="901" spans="1:13" ht="20.100000000000001" customHeight="1">
      <c r="A901" s="171"/>
      <c r="B901" s="568" t="s">
        <v>1115</v>
      </c>
      <c r="C901" s="490"/>
      <c r="D901" s="488">
        <v>238335</v>
      </c>
      <c r="E901" s="488">
        <v>238335</v>
      </c>
      <c r="F901" s="470">
        <f t="shared" si="67"/>
        <v>238335</v>
      </c>
      <c r="G901" s="488"/>
      <c r="H901" s="798"/>
      <c r="I901" s="488"/>
      <c r="J901" s="488"/>
      <c r="K901" s="488"/>
      <c r="L901" s="488"/>
      <c r="M901" s="622"/>
    </row>
    <row r="902" spans="1:13" ht="20.100000000000001" customHeight="1">
      <c r="A902" s="171"/>
      <c r="B902" s="851" t="s">
        <v>1577</v>
      </c>
      <c r="C902" s="490"/>
      <c r="D902" s="488">
        <v>210800</v>
      </c>
      <c r="E902" s="488">
        <v>50000</v>
      </c>
      <c r="F902" s="470">
        <f t="shared" si="67"/>
        <v>50000</v>
      </c>
      <c r="G902" s="488"/>
      <c r="H902" s="798"/>
      <c r="I902" s="488">
        <v>340340</v>
      </c>
      <c r="J902" s="488">
        <v>60000</v>
      </c>
      <c r="K902" s="488">
        <v>60000</v>
      </c>
      <c r="L902" s="488"/>
      <c r="M902" s="622"/>
    </row>
    <row r="903" spans="1:13" ht="20.100000000000001" customHeight="1">
      <c r="A903" s="171"/>
      <c r="B903" s="851" t="s">
        <v>1578</v>
      </c>
      <c r="C903" s="490"/>
      <c r="D903" s="488"/>
      <c r="E903" s="488"/>
      <c r="F903" s="470"/>
      <c r="G903" s="488"/>
      <c r="H903" s="798"/>
      <c r="I903" s="488">
        <v>250000</v>
      </c>
      <c r="J903" s="488">
        <v>250000</v>
      </c>
      <c r="K903" s="488">
        <v>250000</v>
      </c>
      <c r="L903" s="488"/>
      <c r="M903" s="634" t="s">
        <v>1579</v>
      </c>
    </row>
    <row r="904" spans="1:13" ht="20.100000000000001" customHeight="1">
      <c r="A904" s="171"/>
      <c r="B904" s="851"/>
      <c r="C904" s="490"/>
      <c r="D904" s="488"/>
      <c r="E904" s="488"/>
      <c r="F904" s="470"/>
      <c r="G904" s="488"/>
      <c r="H904" s="798"/>
      <c r="I904" s="488"/>
      <c r="J904" s="488">
        <v>300000</v>
      </c>
      <c r="K904" s="488">
        <v>300000</v>
      </c>
      <c r="L904" s="488"/>
      <c r="M904" s="634"/>
    </row>
    <row r="905" spans="1:13" ht="20.100000000000001" customHeight="1">
      <c r="A905" s="171">
        <v>2</v>
      </c>
      <c r="B905" s="169" t="s">
        <v>575</v>
      </c>
      <c r="C905" s="471">
        <f>SUM(C906:C917)</f>
        <v>0</v>
      </c>
      <c r="D905" s="472">
        <f>SUM(D906:D918)</f>
        <v>1379000</v>
      </c>
      <c r="E905" s="472">
        <f>SUM(E906:E918)</f>
        <v>874000</v>
      </c>
      <c r="F905" s="466">
        <f t="shared" si="67"/>
        <v>874000</v>
      </c>
      <c r="G905" s="472"/>
      <c r="H905" s="775"/>
      <c r="I905" s="472">
        <f>SUM(I906:I925)</f>
        <v>2044000</v>
      </c>
      <c r="J905" s="472">
        <f>SUM(J906:J926)</f>
        <v>1251000</v>
      </c>
      <c r="K905" s="472">
        <f>SUM(K906:K926)</f>
        <v>1251000</v>
      </c>
      <c r="L905" s="472"/>
      <c r="M905" s="622"/>
    </row>
    <row r="906" spans="1:13" ht="20.100000000000001" customHeight="1">
      <c r="A906" s="173"/>
      <c r="B906" s="170" t="s">
        <v>1117</v>
      </c>
      <c r="C906" s="490"/>
      <c r="D906" s="488">
        <v>150000</v>
      </c>
      <c r="E906" s="488">
        <v>100000</v>
      </c>
      <c r="F906" s="470">
        <f t="shared" si="67"/>
        <v>100000</v>
      </c>
      <c r="G906" s="488"/>
      <c r="H906" s="798"/>
      <c r="I906" s="488">
        <v>150000</v>
      </c>
      <c r="J906" s="488">
        <v>100000</v>
      </c>
      <c r="K906" s="488">
        <v>100000</v>
      </c>
      <c r="L906" s="488"/>
      <c r="M906" s="622"/>
    </row>
    <row r="907" spans="1:13" ht="20.100000000000001" customHeight="1">
      <c r="A907" s="173"/>
      <c r="B907" s="222" t="s">
        <v>425</v>
      </c>
      <c r="C907" s="490"/>
      <c r="D907" s="488">
        <v>24000</v>
      </c>
      <c r="E907" s="488">
        <v>24000</v>
      </c>
      <c r="F907" s="470">
        <f t="shared" si="67"/>
        <v>24000</v>
      </c>
      <c r="G907" s="488"/>
      <c r="H907" s="798"/>
      <c r="I907" s="488">
        <v>24000</v>
      </c>
      <c r="J907" s="488">
        <v>36000</v>
      </c>
      <c r="K907" s="488">
        <v>36000</v>
      </c>
      <c r="L907" s="488"/>
      <c r="M907" s="622"/>
    </row>
    <row r="908" spans="1:13" ht="20.100000000000001" customHeight="1">
      <c r="A908" s="173"/>
      <c r="B908" s="222" t="s">
        <v>1118</v>
      </c>
      <c r="C908" s="525"/>
      <c r="D908" s="488">
        <v>20000</v>
      </c>
      <c r="E908" s="488">
        <v>20000</v>
      </c>
      <c r="F908" s="470">
        <f t="shared" ref="F908:F918" si="72">E908</f>
        <v>20000</v>
      </c>
      <c r="G908" s="488"/>
      <c r="H908" s="798"/>
      <c r="I908" s="488">
        <v>40000</v>
      </c>
      <c r="J908" s="488">
        <v>20000</v>
      </c>
      <c r="K908" s="488">
        <v>20000</v>
      </c>
      <c r="L908" s="758"/>
      <c r="M908" s="759"/>
    </row>
    <row r="909" spans="1:13" ht="20.100000000000001" customHeight="1">
      <c r="A909" s="173"/>
      <c r="B909" s="222" t="s">
        <v>1119</v>
      </c>
      <c r="C909" s="525"/>
      <c r="D909" s="488">
        <v>30000</v>
      </c>
      <c r="E909" s="488">
        <v>20000</v>
      </c>
      <c r="F909" s="470">
        <f t="shared" si="72"/>
        <v>20000</v>
      </c>
      <c r="G909" s="488"/>
      <c r="H909" s="798"/>
      <c r="I909" s="488">
        <v>30000</v>
      </c>
      <c r="J909" s="488">
        <v>20000</v>
      </c>
      <c r="K909" s="488">
        <v>20000</v>
      </c>
      <c r="L909" s="758"/>
      <c r="M909" s="759" t="s">
        <v>1580</v>
      </c>
    </row>
    <row r="910" spans="1:13" ht="20.100000000000001" customHeight="1">
      <c r="A910" s="173"/>
      <c r="B910" s="222" t="s">
        <v>1121</v>
      </c>
      <c r="C910" s="525"/>
      <c r="D910" s="488">
        <v>120000</v>
      </c>
      <c r="E910" s="488">
        <v>120000</v>
      </c>
      <c r="F910" s="470">
        <f t="shared" si="72"/>
        <v>120000</v>
      </c>
      <c r="G910" s="488"/>
      <c r="H910" s="798"/>
      <c r="I910" s="488">
        <v>180000</v>
      </c>
      <c r="J910" s="488">
        <v>120000</v>
      </c>
      <c r="K910" s="488">
        <v>120000</v>
      </c>
      <c r="L910" s="758"/>
      <c r="M910" s="652"/>
    </row>
    <row r="911" spans="1:13" ht="20.100000000000001" customHeight="1">
      <c r="A911" s="173"/>
      <c r="B911" s="222" t="s">
        <v>1122</v>
      </c>
      <c r="C911" s="525"/>
      <c r="D911" s="488">
        <v>35000</v>
      </c>
      <c r="E911" s="488">
        <v>20000</v>
      </c>
      <c r="F911" s="470">
        <f t="shared" si="72"/>
        <v>20000</v>
      </c>
      <c r="G911" s="488"/>
      <c r="H911" s="798"/>
      <c r="I911" s="488">
        <v>55000</v>
      </c>
      <c r="J911" s="488">
        <v>20000</v>
      </c>
      <c r="K911" s="488">
        <v>20000</v>
      </c>
      <c r="L911" s="758"/>
      <c r="M911" s="652"/>
    </row>
    <row r="912" spans="1:13" ht="20.100000000000001" customHeight="1">
      <c r="A912" s="173"/>
      <c r="B912" s="222" t="s">
        <v>1123</v>
      </c>
      <c r="C912" s="525"/>
      <c r="D912" s="488">
        <v>55000</v>
      </c>
      <c r="E912" s="488">
        <v>30000</v>
      </c>
      <c r="F912" s="470">
        <f t="shared" si="72"/>
        <v>30000</v>
      </c>
      <c r="G912" s="488"/>
      <c r="H912" s="798"/>
      <c r="I912" s="488">
        <v>55000</v>
      </c>
      <c r="J912" s="488">
        <v>30000</v>
      </c>
      <c r="K912" s="488">
        <v>30000</v>
      </c>
      <c r="L912" s="758"/>
      <c r="M912" s="652"/>
    </row>
    <row r="913" spans="1:13" ht="20.100000000000001" customHeight="1">
      <c r="A913" s="173"/>
      <c r="B913" s="222" t="s">
        <v>1124</v>
      </c>
      <c r="C913" s="525"/>
      <c r="D913" s="488">
        <v>35000</v>
      </c>
      <c r="E913" s="488">
        <v>20000</v>
      </c>
      <c r="F913" s="470">
        <f t="shared" si="72"/>
        <v>20000</v>
      </c>
      <c r="G913" s="488"/>
      <c r="H913" s="798"/>
      <c r="I913" s="488">
        <f>F913</f>
        <v>20000</v>
      </c>
      <c r="J913" s="488">
        <v>20000</v>
      </c>
      <c r="K913" s="488">
        <v>20000</v>
      </c>
      <c r="L913" s="758"/>
      <c r="M913" s="652"/>
    </row>
    <row r="914" spans="1:13" ht="20.100000000000001" customHeight="1">
      <c r="A914" s="173"/>
      <c r="B914" s="222" t="s">
        <v>1125</v>
      </c>
      <c r="C914" s="525"/>
      <c r="D914" s="488">
        <v>120000</v>
      </c>
      <c r="E914" s="488">
        <v>100000</v>
      </c>
      <c r="F914" s="470">
        <f t="shared" si="72"/>
        <v>100000</v>
      </c>
      <c r="G914" s="488"/>
      <c r="H914" s="798"/>
      <c r="I914" s="488">
        <v>200000</v>
      </c>
      <c r="J914" s="488">
        <v>100000</v>
      </c>
      <c r="K914" s="488">
        <v>100000</v>
      </c>
      <c r="L914" s="758"/>
      <c r="M914" s="652"/>
    </row>
    <row r="915" spans="1:13" ht="20.100000000000001" customHeight="1">
      <c r="A915" s="173"/>
      <c r="B915" s="222" t="s">
        <v>1126</v>
      </c>
      <c r="C915" s="525"/>
      <c r="D915" s="488">
        <v>20000</v>
      </c>
      <c r="E915" s="488">
        <v>20000</v>
      </c>
      <c r="F915" s="470">
        <f t="shared" si="72"/>
        <v>20000</v>
      </c>
      <c r="G915" s="488"/>
      <c r="H915" s="798"/>
      <c r="I915" s="488">
        <v>10000</v>
      </c>
      <c r="J915" s="488">
        <v>10000</v>
      </c>
      <c r="K915" s="488">
        <v>10000</v>
      </c>
      <c r="L915" s="758"/>
      <c r="M915" s="652"/>
    </row>
    <row r="916" spans="1:13" ht="20.100000000000001" customHeight="1">
      <c r="A916" s="173"/>
      <c r="B916" s="222" t="s">
        <v>1127</v>
      </c>
      <c r="C916" s="525"/>
      <c r="D916" s="488">
        <v>120000</v>
      </c>
      <c r="E916" s="488">
        <v>100000</v>
      </c>
      <c r="F916" s="470">
        <f t="shared" si="72"/>
        <v>100000</v>
      </c>
      <c r="G916" s="488"/>
      <c r="H916" s="798"/>
      <c r="I916" s="488">
        <v>120000</v>
      </c>
      <c r="J916" s="488">
        <v>100000</v>
      </c>
      <c r="K916" s="488">
        <v>100000</v>
      </c>
      <c r="L916" s="758"/>
      <c r="M916" s="652"/>
    </row>
    <row r="917" spans="1:13" ht="20.100000000000001" customHeight="1">
      <c r="A917" s="173"/>
      <c r="B917" s="222" t="s">
        <v>1128</v>
      </c>
      <c r="C917" s="525"/>
      <c r="D917" s="488">
        <v>150000</v>
      </c>
      <c r="E917" s="488">
        <v>100000</v>
      </c>
      <c r="F917" s="470">
        <f t="shared" si="72"/>
        <v>100000</v>
      </c>
      <c r="G917" s="488"/>
      <c r="H917" s="798"/>
      <c r="I917" s="488">
        <v>100000</v>
      </c>
      <c r="J917" s="488">
        <v>100000</v>
      </c>
      <c r="K917" s="488">
        <v>100000</v>
      </c>
      <c r="L917" s="758"/>
      <c r="M917" s="759"/>
    </row>
    <row r="918" spans="1:13" ht="20.100000000000001" customHeight="1">
      <c r="A918" s="173"/>
      <c r="B918" s="222" t="s">
        <v>1130</v>
      </c>
      <c r="C918" s="525"/>
      <c r="D918" s="488">
        <v>500000</v>
      </c>
      <c r="E918" s="488">
        <v>200000</v>
      </c>
      <c r="F918" s="470">
        <f t="shared" si="72"/>
        <v>200000</v>
      </c>
      <c r="G918" s="488"/>
      <c r="H918" s="798"/>
      <c r="I918" s="488"/>
      <c r="J918" s="488"/>
      <c r="K918" s="488"/>
      <c r="L918" s="758"/>
      <c r="M918" s="759"/>
    </row>
    <row r="919" spans="1:13" ht="20.100000000000001" customHeight="1">
      <c r="A919" s="173"/>
      <c r="B919" s="568" t="s">
        <v>1581</v>
      </c>
      <c r="C919" s="525"/>
      <c r="D919" s="488"/>
      <c r="E919" s="488"/>
      <c r="F919" s="470"/>
      <c r="G919" s="488"/>
      <c r="H919" s="798"/>
      <c r="I919" s="488">
        <v>280000</v>
      </c>
      <c r="J919" s="488">
        <v>100000</v>
      </c>
      <c r="K919" s="488">
        <v>100000</v>
      </c>
      <c r="L919" s="758"/>
      <c r="M919" s="759"/>
    </row>
    <row r="920" spans="1:13" ht="20.100000000000001" customHeight="1">
      <c r="A920" s="173"/>
      <c r="B920" s="222" t="s">
        <v>1582</v>
      </c>
      <c r="C920" s="525"/>
      <c r="D920" s="488"/>
      <c r="E920" s="488"/>
      <c r="F920" s="470"/>
      <c r="G920" s="488"/>
      <c r="H920" s="798"/>
      <c r="I920" s="488">
        <v>200000</v>
      </c>
      <c r="J920" s="488"/>
      <c r="K920" s="488"/>
      <c r="L920" s="758"/>
      <c r="M920" s="759" t="s">
        <v>1583</v>
      </c>
    </row>
    <row r="921" spans="1:13" ht="20.100000000000001" customHeight="1">
      <c r="A921" s="173"/>
      <c r="B921" s="222" t="s">
        <v>1584</v>
      </c>
      <c r="C921" s="525"/>
      <c r="D921" s="488"/>
      <c r="E921" s="488"/>
      <c r="F921" s="470"/>
      <c r="G921" s="488"/>
      <c r="H921" s="798"/>
      <c r="I921" s="488">
        <v>150000</v>
      </c>
      <c r="J921" s="488"/>
      <c r="K921" s="488"/>
      <c r="L921" s="758"/>
      <c r="M921" s="759"/>
    </row>
    <row r="922" spans="1:13" ht="20.100000000000001" customHeight="1">
      <c r="A922" s="173"/>
      <c r="B922" s="222" t="s">
        <v>1585</v>
      </c>
      <c r="C922" s="525"/>
      <c r="D922" s="488"/>
      <c r="E922" s="488"/>
      <c r="F922" s="470"/>
      <c r="G922" s="488"/>
      <c r="H922" s="798"/>
      <c r="I922" s="488">
        <v>50000</v>
      </c>
      <c r="J922" s="488">
        <v>20000</v>
      </c>
      <c r="K922" s="488">
        <v>20000</v>
      </c>
      <c r="L922" s="758"/>
      <c r="M922" s="759"/>
    </row>
    <row r="923" spans="1:13" ht="20.100000000000001" customHeight="1">
      <c r="A923" s="173"/>
      <c r="B923" s="222" t="s">
        <v>1586</v>
      </c>
      <c r="C923" s="525"/>
      <c r="D923" s="488"/>
      <c r="E923" s="488"/>
      <c r="F923" s="470"/>
      <c r="G923" s="488"/>
      <c r="H923" s="798"/>
      <c r="I923" s="488">
        <v>50000</v>
      </c>
      <c r="J923" s="488"/>
      <c r="K923" s="488"/>
      <c r="L923" s="758"/>
      <c r="M923" s="759"/>
    </row>
    <row r="924" spans="1:13" ht="20.100000000000001" customHeight="1">
      <c r="A924" s="173"/>
      <c r="B924" s="568" t="s">
        <v>1587</v>
      </c>
      <c r="C924" s="525"/>
      <c r="D924" s="488"/>
      <c r="E924" s="488"/>
      <c r="F924" s="470"/>
      <c r="G924" s="488"/>
      <c r="H924" s="798"/>
      <c r="I924" s="488">
        <v>230000</v>
      </c>
      <c r="J924" s="488">
        <v>100000</v>
      </c>
      <c r="K924" s="488">
        <v>100000</v>
      </c>
      <c r="L924" s="758"/>
      <c r="M924" s="759"/>
    </row>
    <row r="925" spans="1:13" ht="20.100000000000001" customHeight="1">
      <c r="A925" s="173"/>
      <c r="B925" s="222" t="s">
        <v>233</v>
      </c>
      <c r="C925" s="525"/>
      <c r="D925" s="488"/>
      <c r="E925" s="488"/>
      <c r="F925" s="470"/>
      <c r="G925" s="488"/>
      <c r="H925" s="798"/>
      <c r="I925" s="488">
        <v>100000</v>
      </c>
      <c r="J925" s="488"/>
      <c r="K925" s="488"/>
      <c r="L925" s="758"/>
      <c r="M925" s="759"/>
    </row>
    <row r="926" spans="1:13" ht="20.100000000000001" customHeight="1">
      <c r="A926" s="173"/>
      <c r="B926" s="222" t="s">
        <v>1636</v>
      </c>
      <c r="C926" s="525"/>
      <c r="D926" s="488"/>
      <c r="E926" s="488"/>
      <c r="F926" s="470"/>
      <c r="G926" s="488"/>
      <c r="H926" s="798"/>
      <c r="I926" s="488"/>
      <c r="J926" s="488">
        <v>355000</v>
      </c>
      <c r="K926" s="488">
        <v>355000</v>
      </c>
      <c r="L926" s="914"/>
      <c r="M926" s="915"/>
    </row>
    <row r="927" spans="1:13" ht="20.100000000000001" customHeight="1">
      <c r="A927" s="171" t="s">
        <v>357</v>
      </c>
      <c r="B927" s="316" t="s">
        <v>1180</v>
      </c>
      <c r="C927" s="490"/>
      <c r="D927" s="491">
        <v>4000000</v>
      </c>
      <c r="E927" s="491">
        <v>4000000</v>
      </c>
      <c r="F927" s="466">
        <f>E927</f>
        <v>4000000</v>
      </c>
      <c r="G927" s="488"/>
      <c r="H927" s="798"/>
      <c r="I927" s="488"/>
      <c r="J927" s="491">
        <v>4500000</v>
      </c>
      <c r="K927" s="491">
        <v>4500000</v>
      </c>
      <c r="L927" s="488"/>
      <c r="M927" s="634" t="s">
        <v>1416</v>
      </c>
    </row>
    <row r="928" spans="1:13" ht="54.75" customHeight="1">
      <c r="A928" s="171" t="s">
        <v>152</v>
      </c>
      <c r="B928" s="318" t="s">
        <v>1132</v>
      </c>
      <c r="C928" s="492"/>
      <c r="D928" s="491">
        <v>200000</v>
      </c>
      <c r="E928" s="491">
        <v>200000</v>
      </c>
      <c r="F928" s="466">
        <f>E928</f>
        <v>200000</v>
      </c>
      <c r="G928" s="491"/>
      <c r="H928" s="799"/>
      <c r="I928" s="491">
        <v>200000</v>
      </c>
      <c r="J928" s="491">
        <v>200000</v>
      </c>
      <c r="K928" s="491">
        <v>200000</v>
      </c>
      <c r="L928" s="491"/>
      <c r="M928" s="622"/>
    </row>
    <row r="929" spans="1:14" ht="20.100000000000001" customHeight="1">
      <c r="A929" s="171" t="s">
        <v>154</v>
      </c>
      <c r="B929" s="169" t="s">
        <v>153</v>
      </c>
      <c r="C929" s="492"/>
      <c r="D929" s="491">
        <v>1500000</v>
      </c>
      <c r="E929" s="491">
        <v>1500000</v>
      </c>
      <c r="F929" s="466">
        <v>1500000</v>
      </c>
      <c r="G929" s="491"/>
      <c r="H929" s="799"/>
      <c r="I929" s="491">
        <v>1500000</v>
      </c>
      <c r="J929" s="491">
        <v>500000</v>
      </c>
      <c r="K929" s="491">
        <v>500000</v>
      </c>
      <c r="L929" s="491"/>
      <c r="M929" s="622"/>
      <c r="N929" s="116">
        <v>1000000</v>
      </c>
    </row>
    <row r="930" spans="1:14" ht="15" customHeight="1">
      <c r="A930" s="171" t="s">
        <v>156</v>
      </c>
      <c r="B930" s="169" t="s">
        <v>155</v>
      </c>
      <c r="C930" s="492"/>
      <c r="D930" s="491">
        <v>1790400</v>
      </c>
      <c r="E930" s="491">
        <f>1790400+20000</f>
        <v>1810400</v>
      </c>
      <c r="F930" s="466">
        <f>1790400+20000</f>
        <v>1810400</v>
      </c>
      <c r="G930" s="466">
        <f>G931</f>
        <v>0</v>
      </c>
      <c r="H930" s="771"/>
      <c r="I930" s="466">
        <v>2000000</v>
      </c>
      <c r="J930" s="466">
        <v>2000000</v>
      </c>
      <c r="K930" s="466">
        <v>1500000</v>
      </c>
      <c r="L930" s="466">
        <v>500000</v>
      </c>
      <c r="M930" s="622"/>
      <c r="N930" s="116">
        <v>1000000</v>
      </c>
    </row>
    <row r="931" spans="1:14" ht="19.5" hidden="1" customHeight="1">
      <c r="A931" s="171" t="s">
        <v>78</v>
      </c>
      <c r="B931" s="169"/>
      <c r="C931" s="492"/>
      <c r="D931" s="491"/>
      <c r="E931" s="491"/>
      <c r="F931" s="466"/>
      <c r="G931" s="491"/>
      <c r="H931" s="799"/>
      <c r="I931" s="491"/>
      <c r="J931" s="491"/>
      <c r="K931" s="491"/>
      <c r="L931" s="491"/>
      <c r="M931" s="622"/>
    </row>
    <row r="932" spans="1:14" ht="40.5" customHeight="1">
      <c r="A932" s="171" t="s">
        <v>504</v>
      </c>
      <c r="B932" s="169" t="s">
        <v>1133</v>
      </c>
      <c r="C932" s="490"/>
      <c r="D932" s="491">
        <f>SUM(D933:D943)</f>
        <v>3776440</v>
      </c>
      <c r="E932" s="491">
        <f>SUM(E933:E943)</f>
        <v>3420040</v>
      </c>
      <c r="F932" s="491">
        <f>SUM(F933:F943)</f>
        <v>3120040</v>
      </c>
      <c r="G932" s="491">
        <f>SUM(G933:G943)</f>
        <v>300000</v>
      </c>
      <c r="H932" s="799"/>
      <c r="I932" s="491">
        <f>SUM(I933:I943)</f>
        <v>2730000</v>
      </c>
      <c r="J932" s="491">
        <v>2274549</v>
      </c>
      <c r="K932" s="491">
        <v>1774549</v>
      </c>
      <c r="L932" s="491">
        <f>SUM(L933:L943)</f>
        <v>500000</v>
      </c>
      <c r="M932" s="624" t="s">
        <v>1134</v>
      </c>
    </row>
    <row r="933" spans="1:14" ht="20.100000000000001" customHeight="1">
      <c r="A933" s="173">
        <v>1</v>
      </c>
      <c r="B933" s="170" t="s">
        <v>314</v>
      </c>
      <c r="C933" s="490"/>
      <c r="D933" s="488">
        <v>500000</v>
      </c>
      <c r="E933" s="488">
        <v>500000</v>
      </c>
      <c r="F933" s="470">
        <v>300000</v>
      </c>
      <c r="G933" s="488">
        <v>200000</v>
      </c>
      <c r="H933" s="798"/>
      <c r="I933" s="488">
        <v>800000</v>
      </c>
      <c r="J933" s="488">
        <v>800000</v>
      </c>
      <c r="K933" s="488">
        <v>500000</v>
      </c>
      <c r="L933" s="488">
        <v>300000</v>
      </c>
      <c r="M933" s="761" t="s">
        <v>1135</v>
      </c>
    </row>
    <row r="934" spans="1:14" ht="20.100000000000001" customHeight="1">
      <c r="A934" s="173">
        <v>2</v>
      </c>
      <c r="B934" s="170" t="s">
        <v>1136</v>
      </c>
      <c r="C934" s="490"/>
      <c r="D934" s="488">
        <v>300000</v>
      </c>
      <c r="E934" s="488">
        <v>300000</v>
      </c>
      <c r="F934" s="470">
        <v>200000</v>
      </c>
      <c r="G934" s="488">
        <v>100000</v>
      </c>
      <c r="H934" s="798"/>
      <c r="I934" s="488">
        <v>300000</v>
      </c>
      <c r="J934" s="488">
        <v>300000</v>
      </c>
      <c r="K934" s="488">
        <v>200000</v>
      </c>
      <c r="L934" s="488">
        <v>100000</v>
      </c>
      <c r="M934" s="761" t="s">
        <v>1135</v>
      </c>
    </row>
    <row r="935" spans="1:14" ht="20.100000000000001" customHeight="1">
      <c r="A935" s="173">
        <v>3</v>
      </c>
      <c r="B935" s="170" t="s">
        <v>1137</v>
      </c>
      <c r="C935" s="490"/>
      <c r="D935" s="488">
        <v>390040</v>
      </c>
      <c r="E935" s="488">
        <f>300000+90040</f>
        <v>390040</v>
      </c>
      <c r="F935" s="470">
        <f>E935</f>
        <v>390040</v>
      </c>
      <c r="G935" s="488"/>
      <c r="H935" s="798"/>
      <c r="I935" s="488">
        <v>400000</v>
      </c>
      <c r="J935" s="488">
        <v>400000</v>
      </c>
      <c r="K935" s="488">
        <v>400000</v>
      </c>
      <c r="L935" s="488"/>
      <c r="M935" s="761" t="s">
        <v>1135</v>
      </c>
    </row>
    <row r="936" spans="1:14" ht="20.100000000000001" customHeight="1">
      <c r="A936" s="173">
        <v>4</v>
      </c>
      <c r="B936" s="170" t="s">
        <v>1588</v>
      </c>
      <c r="C936" s="490"/>
      <c r="D936" s="488">
        <v>30000</v>
      </c>
      <c r="E936" s="488">
        <v>30000</v>
      </c>
      <c r="F936" s="470">
        <f>E936</f>
        <v>30000</v>
      </c>
      <c r="G936" s="488"/>
      <c r="H936" s="798"/>
      <c r="I936" s="488">
        <f>F936</f>
        <v>30000</v>
      </c>
      <c r="J936" s="488">
        <v>30000</v>
      </c>
      <c r="K936" s="488">
        <v>30000</v>
      </c>
      <c r="L936" s="488"/>
      <c r="M936" s="761" t="s">
        <v>1135</v>
      </c>
    </row>
    <row r="937" spans="1:14" ht="20.100000000000001" customHeight="1">
      <c r="A937" s="173">
        <v>5</v>
      </c>
      <c r="B937" s="170" t="s">
        <v>1139</v>
      </c>
      <c r="C937" s="490"/>
      <c r="D937" s="488">
        <v>100000</v>
      </c>
      <c r="E937" s="488">
        <v>100000</v>
      </c>
      <c r="F937" s="470">
        <f>E937</f>
        <v>100000</v>
      </c>
      <c r="G937" s="488"/>
      <c r="H937" s="798"/>
      <c r="I937" s="488">
        <v>100000</v>
      </c>
      <c r="J937" s="488">
        <v>100000</v>
      </c>
      <c r="K937" s="488">
        <v>100000</v>
      </c>
      <c r="L937" s="488"/>
      <c r="M937" s="761" t="s">
        <v>1135</v>
      </c>
    </row>
    <row r="938" spans="1:14" ht="20.100000000000001" customHeight="1">
      <c r="A938" s="173">
        <v>6</v>
      </c>
      <c r="B938" s="170" t="s">
        <v>1140</v>
      </c>
      <c r="C938" s="490"/>
      <c r="D938" s="488">
        <v>150000</v>
      </c>
      <c r="E938" s="488">
        <v>150000</v>
      </c>
      <c r="F938" s="470">
        <f>E938</f>
        <v>150000</v>
      </c>
      <c r="G938" s="488"/>
      <c r="H938" s="798"/>
      <c r="I938" s="488">
        <f>F938</f>
        <v>150000</v>
      </c>
      <c r="J938" s="488">
        <v>150000</v>
      </c>
      <c r="K938" s="488">
        <v>150000</v>
      </c>
      <c r="L938" s="488"/>
      <c r="M938" s="761" t="s">
        <v>1135</v>
      </c>
    </row>
    <row r="939" spans="1:14" ht="20.100000000000001" customHeight="1">
      <c r="A939" s="173">
        <v>7</v>
      </c>
      <c r="B939" s="170" t="s">
        <v>1141</v>
      </c>
      <c r="C939" s="490"/>
      <c r="D939" s="488">
        <v>200000</v>
      </c>
      <c r="E939" s="488">
        <v>150000</v>
      </c>
      <c r="F939" s="470">
        <f>E939</f>
        <v>150000</v>
      </c>
      <c r="G939" s="488"/>
      <c r="H939" s="798"/>
      <c r="I939" s="488">
        <f>F939</f>
        <v>150000</v>
      </c>
      <c r="J939" s="488">
        <v>150000</v>
      </c>
      <c r="K939" s="488">
        <v>150000</v>
      </c>
      <c r="L939" s="488"/>
      <c r="M939" s="761" t="s">
        <v>1135</v>
      </c>
    </row>
    <row r="940" spans="1:14" ht="20.100000000000001" customHeight="1">
      <c r="A940" s="173">
        <v>8</v>
      </c>
      <c r="B940" s="170" t="s">
        <v>1142</v>
      </c>
      <c r="C940" s="490"/>
      <c r="D940" s="488">
        <v>1200000</v>
      </c>
      <c r="E940" s="488">
        <v>1200000</v>
      </c>
      <c r="F940" s="470">
        <v>1200000</v>
      </c>
      <c r="G940" s="488"/>
      <c r="H940" s="798"/>
      <c r="I940" s="488">
        <v>500000</v>
      </c>
      <c r="J940" s="488">
        <v>500000</v>
      </c>
      <c r="K940" s="488">
        <v>500000</v>
      </c>
      <c r="L940" s="488"/>
      <c r="M940" s="761" t="s">
        <v>1135</v>
      </c>
    </row>
    <row r="941" spans="1:14" ht="20.100000000000001" customHeight="1">
      <c r="A941" s="173">
        <v>9</v>
      </c>
      <c r="B941" s="170" t="s">
        <v>1143</v>
      </c>
      <c r="C941" s="490"/>
      <c r="D941" s="488">
        <v>606400</v>
      </c>
      <c r="E941" s="488">
        <v>300000</v>
      </c>
      <c r="F941" s="470">
        <v>300000</v>
      </c>
      <c r="G941" s="488"/>
      <c r="H941" s="798"/>
      <c r="I941" s="488"/>
      <c r="J941" s="488"/>
      <c r="K941" s="488"/>
      <c r="L941" s="488"/>
      <c r="M941" s="761" t="s">
        <v>1135</v>
      </c>
      <c r="N941" s="116">
        <v>200000</v>
      </c>
    </row>
    <row r="942" spans="1:14" ht="20.100000000000001" customHeight="1">
      <c r="A942" s="173">
        <v>10</v>
      </c>
      <c r="B942" s="170" t="s">
        <v>1144</v>
      </c>
      <c r="C942" s="490"/>
      <c r="D942" s="488">
        <v>100000</v>
      </c>
      <c r="E942" s="488">
        <v>100000</v>
      </c>
      <c r="F942" s="470">
        <f>E942</f>
        <v>100000</v>
      </c>
      <c r="G942" s="488"/>
      <c r="H942" s="798"/>
      <c r="I942" s="488">
        <f>F942</f>
        <v>100000</v>
      </c>
      <c r="J942" s="488"/>
      <c r="K942" s="488"/>
      <c r="L942" s="488"/>
      <c r="M942" s="761" t="s">
        <v>1135</v>
      </c>
    </row>
    <row r="943" spans="1:14" ht="33" customHeight="1">
      <c r="A943" s="173">
        <v>11</v>
      </c>
      <c r="B943" s="170" t="s">
        <v>1145</v>
      </c>
      <c r="C943" s="490"/>
      <c r="D943" s="488">
        <v>200000</v>
      </c>
      <c r="E943" s="488">
        <v>200000</v>
      </c>
      <c r="F943" s="470">
        <v>200000</v>
      </c>
      <c r="G943" s="488"/>
      <c r="H943" s="798"/>
      <c r="I943" s="488">
        <f>F943</f>
        <v>200000</v>
      </c>
      <c r="J943" s="488">
        <v>200000</v>
      </c>
      <c r="K943" s="488">
        <v>100000</v>
      </c>
      <c r="L943" s="488">
        <v>100000</v>
      </c>
      <c r="M943" s="761" t="s">
        <v>1135</v>
      </c>
    </row>
    <row r="944" spans="1:14" ht="20.100000000000001" customHeight="1">
      <c r="A944" s="320" t="s">
        <v>527</v>
      </c>
      <c r="B944" s="169" t="s">
        <v>503</v>
      </c>
      <c r="C944" s="492"/>
      <c r="D944" s="491">
        <v>2913000</v>
      </c>
      <c r="E944" s="491">
        <f>3000000-87000</f>
        <v>2913000</v>
      </c>
      <c r="F944" s="466">
        <f>1500000-159000-87000</f>
        <v>1254000</v>
      </c>
      <c r="G944" s="491">
        <f>1500000+159000</f>
        <v>1659000</v>
      </c>
      <c r="H944" s="799"/>
      <c r="I944" s="491">
        <v>3000000</v>
      </c>
      <c r="J944" s="491">
        <v>3241000</v>
      </c>
      <c r="K944" s="491">
        <f>1800000+241000</f>
        <v>2041000</v>
      </c>
      <c r="L944" s="491">
        <v>1200000</v>
      </c>
      <c r="M944" s="622"/>
    </row>
    <row r="945" spans="1:14" ht="20.100000000000001" customHeight="1">
      <c r="A945" s="321" t="s">
        <v>649</v>
      </c>
      <c r="B945" s="169" t="s">
        <v>648</v>
      </c>
      <c r="C945" s="492"/>
      <c r="D945" s="491">
        <v>30850000</v>
      </c>
      <c r="E945" s="491">
        <v>30850000</v>
      </c>
      <c r="F945" s="466">
        <f>E945</f>
        <v>30850000</v>
      </c>
      <c r="G945" s="491"/>
      <c r="H945" s="799"/>
      <c r="I945" s="491">
        <v>19700000</v>
      </c>
      <c r="J945" s="491">
        <v>19700000</v>
      </c>
      <c r="K945" s="491">
        <v>19700000</v>
      </c>
      <c r="L945" s="491"/>
      <c r="M945" s="622"/>
    </row>
    <row r="946" spans="1:14" ht="20.100000000000001" customHeight="1">
      <c r="A946" s="198" t="s">
        <v>596</v>
      </c>
      <c r="B946" s="169" t="s">
        <v>1146</v>
      </c>
      <c r="C946" s="492"/>
      <c r="D946" s="491">
        <v>40000</v>
      </c>
      <c r="E946" s="491">
        <v>20000</v>
      </c>
      <c r="F946" s="466">
        <f>E946</f>
        <v>20000</v>
      </c>
      <c r="G946" s="491"/>
      <c r="H946" s="799"/>
      <c r="I946" s="491">
        <v>40000</v>
      </c>
      <c r="J946" s="491">
        <v>20000</v>
      </c>
      <c r="K946" s="491">
        <v>20000</v>
      </c>
      <c r="L946" s="491"/>
      <c r="M946" s="622"/>
    </row>
    <row r="947" spans="1:14" ht="20.100000000000001" customHeight="1">
      <c r="A947" s="198" t="s">
        <v>66</v>
      </c>
      <c r="B947" s="169" t="s">
        <v>595</v>
      </c>
      <c r="C947" s="492"/>
      <c r="D947" s="491">
        <v>250000</v>
      </c>
      <c r="E947" s="491">
        <v>250000</v>
      </c>
      <c r="F947" s="466">
        <f>E947</f>
        <v>250000</v>
      </c>
      <c r="G947" s="491"/>
      <c r="H947" s="799"/>
      <c r="I947" s="491">
        <v>250000</v>
      </c>
      <c r="J947" s="491">
        <v>250000</v>
      </c>
      <c r="K947" s="491">
        <v>250000</v>
      </c>
      <c r="L947" s="491"/>
      <c r="M947" s="634"/>
    </row>
    <row r="948" spans="1:14" ht="20.100000000000001" customHeight="1">
      <c r="A948" s="322" t="s">
        <v>67</v>
      </c>
      <c r="B948" s="347" t="s">
        <v>195</v>
      </c>
      <c r="C948" s="852"/>
      <c r="D948" s="570">
        <v>250000</v>
      </c>
      <c r="E948" s="570">
        <v>250000</v>
      </c>
      <c r="F948" s="553">
        <f>E948</f>
        <v>250000</v>
      </c>
      <c r="G948" s="570"/>
      <c r="H948" s="853"/>
      <c r="I948" s="570">
        <v>500000</v>
      </c>
      <c r="J948" s="570">
        <v>500000</v>
      </c>
      <c r="K948" s="570">
        <v>500000</v>
      </c>
      <c r="L948" s="570"/>
      <c r="M948" s="345"/>
    </row>
    <row r="949" spans="1:14" ht="20.100000000000001" customHeight="1">
      <c r="A949" s="198" t="s">
        <v>194</v>
      </c>
      <c r="B949" s="169" t="s">
        <v>1589</v>
      </c>
      <c r="C949" s="492"/>
      <c r="D949" s="491"/>
      <c r="E949" s="491"/>
      <c r="F949" s="466"/>
      <c r="G949" s="491"/>
      <c r="H949" s="799"/>
      <c r="I949" s="491">
        <v>3500000</v>
      </c>
      <c r="J949" s="491">
        <v>3000000</v>
      </c>
      <c r="K949" s="491">
        <v>3000000</v>
      </c>
      <c r="L949" s="491"/>
      <c r="M949" s="23"/>
    </row>
    <row r="950" spans="1:14" ht="20.100000000000001" customHeight="1">
      <c r="A950" s="854" t="s">
        <v>688</v>
      </c>
      <c r="B950" s="855" t="s">
        <v>1590</v>
      </c>
      <c r="C950" s="857"/>
      <c r="D950" s="856">
        <v>455000</v>
      </c>
      <c r="E950" s="856">
        <v>455000</v>
      </c>
      <c r="F950" s="553">
        <v>455000</v>
      </c>
      <c r="G950" s="856"/>
      <c r="H950" s="858"/>
      <c r="I950" s="856">
        <v>355000</v>
      </c>
      <c r="J950" s="856"/>
      <c r="K950" s="856"/>
      <c r="L950" s="856"/>
      <c r="M950" s="859"/>
    </row>
    <row r="951" spans="1:14" ht="20.100000000000001" customHeight="1">
      <c r="A951" s="854"/>
      <c r="B951" s="855" t="s">
        <v>1630</v>
      </c>
      <c r="C951" s="857"/>
      <c r="D951" s="856"/>
      <c r="E951" s="856"/>
      <c r="F951" s="553"/>
      <c r="G951" s="856"/>
      <c r="H951" s="858"/>
      <c r="I951" s="856"/>
      <c r="J951" s="856"/>
      <c r="K951" s="856"/>
      <c r="L951" s="856"/>
      <c r="M951" s="859"/>
    </row>
    <row r="952" spans="1:14" ht="20.100000000000001" customHeight="1">
      <c r="A952" s="343"/>
      <c r="B952" s="324" t="s">
        <v>55</v>
      </c>
      <c r="C952" s="572"/>
      <c r="D952" s="573">
        <f>(D18+D454+D599+D626+D731+D776+D884+D928+D929+D930+D944+D945+D946+D947+D948+D595+D927+D932+D950)</f>
        <v>251579454.22777274</v>
      </c>
      <c r="E952" s="573">
        <f>(E18+E454+E599+E626+E731+E776+E884+E928+E929+E930+E944+E945+E946+E947+E948+E595+E927+E932+E950)</f>
        <v>246746400.22777274</v>
      </c>
      <c r="F952" s="573">
        <f>(F18+F454+F599+F626+F731+F776+F884+F928+F929+F930+F944+F945+F946+F947+F948+F595+F927+F932+F950)</f>
        <v>243787400.22777274</v>
      </c>
      <c r="G952" s="573">
        <f>(G18+G454+G599+G626+G731+G776+G884+G928+G929+G930+G944+G945+G946+G947+G948+G595+G927+G932)</f>
        <v>2959000</v>
      </c>
      <c r="H952" s="860"/>
      <c r="I952" s="573">
        <f>(I18+I454+I599+I626+I731+I776+I884+I928+I929+I930+I944+I945+I946+I947+I948+I595+I927+I932+I949+I950)</f>
        <v>202493011.83557776</v>
      </c>
      <c r="J952" s="573">
        <f>(J18+J454+J599+J626+J731+J776+J884+J928+J929+J930+J944+J945+J946+J947+J948+J595+J927+J932+J949+J950+J951)</f>
        <v>271240000.39957774</v>
      </c>
      <c r="K952" s="573">
        <f>(K18+K454+K599+K626+K731+K776+K884+K928+K929+K930+K944+K945+K946+K947+K948+K595+K927+K932+K949+K950+K951)</f>
        <v>268590000.39957774</v>
      </c>
      <c r="L952" s="573">
        <f>(L18+L454+L599+L626+L731+L776+L884+L928+L929+L930+L944+L945+L946+L947+L948+L595+L927+L932+L949+L950)</f>
        <v>2500000</v>
      </c>
      <c r="M952" s="140"/>
      <c r="N952" s="116">
        <f>E952-E945-E944</f>
        <v>212983400.22777274</v>
      </c>
    </row>
    <row r="953" spans="1:14">
      <c r="A953" s="380"/>
      <c r="B953" s="382"/>
      <c r="C953" s="383"/>
      <c r="D953" s="383"/>
      <c r="E953" s="384"/>
      <c r="F953" s="384"/>
      <c r="G953" s="384"/>
      <c r="H953" s="384"/>
      <c r="I953" s="384"/>
      <c r="J953" s="384"/>
      <c r="K953" s="384"/>
      <c r="L953" s="384"/>
      <c r="M953" s="132"/>
    </row>
    <row r="954" spans="1:14">
      <c r="A954" s="380"/>
      <c r="B954" s="382"/>
      <c r="C954" s="383"/>
      <c r="D954" s="383"/>
      <c r="E954" s="384"/>
      <c r="F954" s="384"/>
      <c r="G954" s="384"/>
      <c r="H954" s="384"/>
      <c r="I954" s="384"/>
      <c r="J954" s="384"/>
      <c r="K954" s="384"/>
      <c r="L954" s="384"/>
      <c r="M954" s="132"/>
    </row>
    <row r="955" spans="1:14">
      <c r="A955" s="380"/>
      <c r="B955" s="382"/>
      <c r="C955" s="383"/>
      <c r="D955" s="383"/>
      <c r="E955" s="384"/>
      <c r="F955" s="384"/>
      <c r="G955" s="384"/>
      <c r="H955" s="384"/>
      <c r="I955" s="384"/>
      <c r="J955" s="384"/>
      <c r="K955" s="384"/>
      <c r="L955" s="384"/>
      <c r="M955" s="132"/>
    </row>
    <row r="956" spans="1:14">
      <c r="A956" s="380"/>
      <c r="B956" s="382"/>
      <c r="C956" s="383"/>
      <c r="D956" s="383"/>
      <c r="E956" s="384"/>
      <c r="F956" s="384"/>
      <c r="G956" s="384"/>
      <c r="H956" s="384"/>
      <c r="I956" s="384"/>
      <c r="J956" s="384"/>
      <c r="K956" s="384"/>
      <c r="L956" s="384"/>
      <c r="M956" s="132"/>
    </row>
    <row r="957" spans="1:14">
      <c r="A957" s="380"/>
      <c r="B957" s="382"/>
      <c r="C957" s="383"/>
      <c r="D957" s="383"/>
      <c r="E957" s="384"/>
      <c r="F957" s="384"/>
      <c r="G957" s="384"/>
      <c r="H957" s="384"/>
      <c r="I957" s="384"/>
      <c r="J957" s="384"/>
      <c r="K957" s="384"/>
      <c r="L957" s="384"/>
      <c r="M957" s="132"/>
    </row>
    <row r="958" spans="1:14">
      <c r="A958" s="380"/>
      <c r="B958" s="382"/>
      <c r="C958" s="383"/>
      <c r="D958" s="383"/>
      <c r="E958" s="384"/>
      <c r="F958" s="384"/>
      <c r="G958" s="384"/>
      <c r="H958" s="384"/>
      <c r="I958" s="384"/>
      <c r="J958" s="384"/>
      <c r="K958" s="384"/>
      <c r="L958" s="384"/>
      <c r="M958" s="132"/>
    </row>
    <row r="959" spans="1:14">
      <c r="A959" s="380"/>
      <c r="B959" s="382"/>
      <c r="C959" s="383"/>
      <c r="D959" s="383"/>
      <c r="E959" s="384"/>
      <c r="F959" s="384"/>
      <c r="G959" s="384"/>
      <c r="H959" s="384"/>
      <c r="I959" s="384"/>
      <c r="J959" s="384"/>
      <c r="K959" s="384"/>
      <c r="L959" s="384"/>
      <c r="M959" s="132"/>
    </row>
    <row r="960" spans="1:14">
      <c r="A960" s="380"/>
      <c r="B960" s="382"/>
      <c r="C960" s="383"/>
      <c r="D960" s="383"/>
      <c r="E960" s="384"/>
      <c r="F960" s="384"/>
      <c r="G960" s="384"/>
      <c r="H960" s="384"/>
      <c r="I960" s="384"/>
      <c r="J960" s="384"/>
      <c r="K960" s="384"/>
      <c r="L960" s="384"/>
      <c r="M960" s="132"/>
    </row>
    <row r="961" spans="1:13">
      <c r="A961" s="380"/>
      <c r="B961" s="382"/>
      <c r="C961" s="383"/>
      <c r="D961" s="383"/>
      <c r="E961" s="383"/>
      <c r="F961" s="383"/>
      <c r="G961" s="383"/>
      <c r="H961" s="383"/>
      <c r="I961" s="383"/>
      <c r="J961" s="383"/>
      <c r="K961" s="383"/>
      <c r="L961" s="383"/>
      <c r="M961" s="132"/>
    </row>
    <row r="962" spans="1:13">
      <c r="A962" s="380"/>
      <c r="B962" s="382"/>
      <c r="C962" s="383"/>
      <c r="D962" s="383"/>
      <c r="E962" s="383"/>
      <c r="F962" s="383"/>
      <c r="G962" s="383"/>
      <c r="H962" s="383"/>
      <c r="I962" s="383"/>
      <c r="J962" s="383"/>
      <c r="K962" s="383"/>
      <c r="L962" s="383"/>
      <c r="M962" s="132"/>
    </row>
    <row r="963" spans="1:13">
      <c r="A963" s="380"/>
      <c r="B963" s="382"/>
      <c r="C963" s="383"/>
      <c r="D963" s="383"/>
      <c r="E963" s="383"/>
      <c r="F963" s="383"/>
      <c r="G963" s="383"/>
      <c r="H963" s="383"/>
      <c r="I963" s="383"/>
      <c r="J963" s="383"/>
      <c r="K963" s="383"/>
      <c r="L963" s="383"/>
      <c r="M963" s="132"/>
    </row>
    <row r="964" spans="1:13">
      <c r="A964" s="380"/>
      <c r="B964" s="382"/>
      <c r="C964" s="383"/>
      <c r="D964" s="383"/>
      <c r="E964" s="383"/>
      <c r="F964" s="383"/>
      <c r="G964" s="383"/>
      <c r="H964" s="383"/>
      <c r="I964" s="383"/>
      <c r="J964" s="383"/>
      <c r="K964" s="383"/>
      <c r="L964" s="383"/>
      <c r="M964" s="132"/>
    </row>
    <row r="965" spans="1:13">
      <c r="A965" s="380"/>
      <c r="B965" s="382"/>
      <c r="C965" s="383"/>
      <c r="D965" s="383"/>
      <c r="E965" s="383"/>
      <c r="F965" s="383"/>
      <c r="G965" s="383"/>
      <c r="H965" s="383"/>
      <c r="I965" s="383"/>
      <c r="J965" s="383"/>
      <c r="K965" s="383"/>
      <c r="L965" s="383"/>
      <c r="M965" s="132"/>
    </row>
    <row r="966" spans="1:13">
      <c r="A966" s="380"/>
      <c r="B966" s="382"/>
      <c r="C966" s="383"/>
      <c r="D966" s="383"/>
      <c r="E966" s="383"/>
      <c r="F966" s="383"/>
      <c r="G966" s="383"/>
      <c r="H966" s="383"/>
      <c r="I966" s="383"/>
      <c r="J966" s="383"/>
      <c r="K966" s="383"/>
      <c r="L966" s="383"/>
      <c r="M966" s="132"/>
    </row>
    <row r="967" spans="1:13">
      <c r="A967" s="380"/>
      <c r="B967" s="382"/>
      <c r="C967" s="383"/>
      <c r="D967" s="383"/>
      <c r="E967" s="383"/>
      <c r="F967" s="383"/>
      <c r="G967" s="383"/>
      <c r="H967" s="383"/>
      <c r="I967" s="383"/>
      <c r="J967" s="383"/>
      <c r="K967" s="383"/>
      <c r="L967" s="383"/>
      <c r="M967" s="132"/>
    </row>
    <row r="968" spans="1:13">
      <c r="A968" s="380"/>
      <c r="B968" s="382"/>
      <c r="C968" s="383"/>
      <c r="D968" s="383"/>
      <c r="E968" s="383"/>
      <c r="F968" s="383"/>
      <c r="G968" s="383"/>
      <c r="H968" s="383"/>
      <c r="I968" s="383"/>
      <c r="J968" s="383"/>
      <c r="K968" s="383"/>
      <c r="L968" s="383"/>
      <c r="M968" s="132"/>
    </row>
    <row r="969" spans="1:13">
      <c r="A969" s="380"/>
      <c r="B969" s="382"/>
      <c r="C969" s="383"/>
      <c r="D969" s="383"/>
      <c r="E969" s="383"/>
      <c r="F969" s="383"/>
      <c r="G969" s="383"/>
      <c r="H969" s="383"/>
      <c r="I969" s="383"/>
      <c r="J969" s="383"/>
      <c r="K969" s="383"/>
      <c r="L969" s="383"/>
      <c r="M969" s="132"/>
    </row>
    <row r="970" spans="1:13">
      <c r="A970" s="380"/>
      <c r="B970" s="382"/>
      <c r="C970" s="383"/>
      <c r="D970" s="383"/>
      <c r="E970" s="383"/>
      <c r="F970" s="383"/>
      <c r="G970" s="383"/>
      <c r="H970" s="383"/>
      <c r="I970" s="383"/>
      <c r="J970" s="383"/>
      <c r="K970" s="383"/>
      <c r="L970" s="383"/>
      <c r="M970" s="132"/>
    </row>
    <row r="971" spans="1:13">
      <c r="A971" s="380"/>
      <c r="B971" s="382"/>
      <c r="C971" s="383"/>
      <c r="D971" s="383"/>
      <c r="E971" s="383"/>
      <c r="F971" s="383"/>
      <c r="G971" s="383"/>
      <c r="H971" s="383"/>
      <c r="I971" s="383"/>
      <c r="J971" s="383"/>
      <c r="K971" s="383"/>
      <c r="L971" s="383"/>
      <c r="M971" s="132"/>
    </row>
    <row r="972" spans="1:13">
      <c r="A972" s="380"/>
      <c r="B972" s="382"/>
      <c r="C972" s="383"/>
      <c r="D972" s="383"/>
      <c r="E972" s="383"/>
      <c r="F972" s="383"/>
      <c r="G972" s="383"/>
      <c r="H972" s="383"/>
      <c r="I972" s="383"/>
      <c r="J972" s="383"/>
      <c r="K972" s="383"/>
      <c r="L972" s="383"/>
      <c r="M972" s="132"/>
    </row>
    <row r="973" spans="1:13">
      <c r="A973" s="380"/>
      <c r="B973" s="382"/>
      <c r="C973" s="383"/>
      <c r="D973" s="383"/>
      <c r="E973" s="383"/>
      <c r="F973" s="383"/>
      <c r="G973" s="383"/>
      <c r="H973" s="383"/>
      <c r="I973" s="383"/>
      <c r="J973" s="383"/>
      <c r="K973" s="383"/>
      <c r="L973" s="383"/>
      <c r="M973" s="132"/>
    </row>
    <row r="974" spans="1:13">
      <c r="A974" s="380"/>
      <c r="B974" s="382"/>
      <c r="C974" s="383"/>
      <c r="D974" s="383"/>
      <c r="E974" s="383"/>
      <c r="F974" s="383"/>
      <c r="G974" s="383"/>
      <c r="H974" s="383"/>
      <c r="I974" s="383"/>
      <c r="J974" s="383"/>
      <c r="K974" s="383"/>
      <c r="L974" s="383"/>
      <c r="M974" s="132"/>
    </row>
    <row r="975" spans="1:13">
      <c r="A975" s="380"/>
      <c r="B975" s="382"/>
      <c r="C975" s="383"/>
      <c r="D975" s="383"/>
      <c r="E975" s="383"/>
      <c r="F975" s="383"/>
      <c r="G975" s="383"/>
      <c r="H975" s="383"/>
      <c r="I975" s="383"/>
      <c r="J975" s="383"/>
      <c r="K975" s="383"/>
      <c r="L975" s="383"/>
      <c r="M975" s="132"/>
    </row>
    <row r="976" spans="1:13">
      <c r="A976" s="380"/>
      <c r="B976" s="382"/>
      <c r="C976" s="383"/>
      <c r="D976" s="383"/>
      <c r="E976" s="383"/>
      <c r="F976" s="383"/>
      <c r="G976" s="383"/>
      <c r="H976" s="383"/>
      <c r="I976" s="383"/>
      <c r="J976" s="383"/>
      <c r="K976" s="383"/>
      <c r="L976" s="383"/>
      <c r="M976" s="132"/>
    </row>
    <row r="977" spans="1:13">
      <c r="A977" s="380"/>
      <c r="B977" s="382"/>
      <c r="C977" s="383"/>
      <c r="D977" s="383"/>
      <c r="E977" s="383"/>
      <c r="F977" s="383"/>
      <c r="G977" s="383"/>
      <c r="H977" s="383"/>
      <c r="I977" s="383"/>
      <c r="J977" s="383"/>
      <c r="K977" s="383"/>
      <c r="L977" s="383"/>
      <c r="M977" s="132"/>
    </row>
    <row r="978" spans="1:13">
      <c r="A978" s="380"/>
      <c r="B978" s="382"/>
      <c r="C978" s="383"/>
      <c r="D978" s="383"/>
      <c r="E978" s="383"/>
      <c r="F978" s="383"/>
      <c r="G978" s="383"/>
      <c r="H978" s="383"/>
      <c r="I978" s="383"/>
      <c r="J978" s="383"/>
      <c r="K978" s="383"/>
      <c r="L978" s="383"/>
      <c r="M978" s="132"/>
    </row>
    <row r="979" spans="1:13">
      <c r="A979" s="380"/>
      <c r="B979" s="382"/>
      <c r="C979" s="383"/>
      <c r="D979" s="383"/>
      <c r="E979" s="383"/>
      <c r="F979" s="383"/>
      <c r="G979" s="383"/>
      <c r="H979" s="383"/>
      <c r="I979" s="383"/>
      <c r="J979" s="383"/>
      <c r="K979" s="383"/>
      <c r="L979" s="383"/>
      <c r="M979" s="132"/>
    </row>
    <row r="980" spans="1:13">
      <c r="A980" s="380"/>
      <c r="B980" s="382"/>
      <c r="C980" s="383"/>
      <c r="D980" s="383"/>
      <c r="E980" s="383"/>
      <c r="F980" s="383"/>
      <c r="G980" s="383"/>
      <c r="H980" s="383"/>
      <c r="I980" s="383"/>
      <c r="J980" s="383"/>
      <c r="K980" s="383"/>
      <c r="L980" s="383"/>
      <c r="M980" s="132"/>
    </row>
    <row r="981" spans="1:13">
      <c r="A981" s="380"/>
      <c r="B981" s="382"/>
      <c r="C981" s="383"/>
      <c r="D981" s="383"/>
      <c r="E981" s="383"/>
      <c r="F981" s="383"/>
      <c r="G981" s="383"/>
      <c r="H981" s="383"/>
      <c r="I981" s="383"/>
      <c r="J981" s="383"/>
      <c r="K981" s="383"/>
      <c r="L981" s="383"/>
      <c r="M981" s="132"/>
    </row>
    <row r="982" spans="1:13">
      <c r="A982" s="380"/>
      <c r="B982" s="382"/>
      <c r="C982" s="383"/>
      <c r="D982" s="383"/>
      <c r="E982" s="383"/>
      <c r="F982" s="383"/>
      <c r="G982" s="383"/>
      <c r="H982" s="383"/>
      <c r="I982" s="383"/>
      <c r="J982" s="383"/>
      <c r="K982" s="383"/>
      <c r="L982" s="383"/>
      <c r="M982" s="132"/>
    </row>
    <row r="983" spans="1:13">
      <c r="A983" s="380"/>
      <c r="B983" s="382"/>
      <c r="C983" s="383"/>
      <c r="D983" s="383"/>
      <c r="E983" s="383"/>
      <c r="F983" s="383"/>
      <c r="G983" s="383"/>
      <c r="H983" s="383"/>
      <c r="I983" s="383"/>
      <c r="J983" s="383"/>
      <c r="K983" s="383"/>
      <c r="L983" s="383"/>
      <c r="M983" s="132"/>
    </row>
    <row r="984" spans="1:13">
      <c r="A984" s="380"/>
      <c r="B984" s="382"/>
      <c r="C984" s="383"/>
      <c r="D984" s="383"/>
      <c r="E984" s="383"/>
      <c r="F984" s="383"/>
      <c r="G984" s="383"/>
      <c r="H984" s="383"/>
      <c r="I984" s="383"/>
      <c r="J984" s="383"/>
      <c r="K984" s="383"/>
      <c r="L984" s="383"/>
      <c r="M984" s="132"/>
    </row>
    <row r="985" spans="1:13">
      <c r="A985" s="380"/>
      <c r="B985" s="382"/>
      <c r="C985" s="383"/>
      <c r="D985" s="383"/>
      <c r="E985" s="383"/>
      <c r="F985" s="383"/>
      <c r="G985" s="383"/>
      <c r="H985" s="383"/>
      <c r="I985" s="383"/>
      <c r="J985" s="383"/>
      <c r="K985" s="383"/>
      <c r="L985" s="383"/>
      <c r="M985" s="132"/>
    </row>
    <row r="986" spans="1:13">
      <c r="A986" s="380"/>
      <c r="B986" s="382"/>
      <c r="C986" s="383"/>
      <c r="D986" s="383"/>
      <c r="E986" s="383"/>
      <c r="F986" s="383"/>
      <c r="G986" s="383"/>
      <c r="H986" s="383"/>
      <c r="I986" s="383"/>
      <c r="J986" s="383"/>
      <c r="K986" s="383"/>
      <c r="L986" s="383"/>
      <c r="M986" s="132"/>
    </row>
    <row r="987" spans="1:13">
      <c r="A987" s="380"/>
      <c r="B987" s="382"/>
      <c r="C987" s="383"/>
      <c r="D987" s="383"/>
      <c r="E987" s="383"/>
      <c r="F987" s="383"/>
      <c r="G987" s="383"/>
      <c r="H987" s="383"/>
      <c r="I987" s="383"/>
      <c r="J987" s="383"/>
      <c r="K987" s="383"/>
      <c r="L987" s="383"/>
      <c r="M987" s="132"/>
    </row>
    <row r="988" spans="1:13">
      <c r="A988" s="380"/>
      <c r="B988" s="382"/>
      <c r="C988" s="383"/>
      <c r="D988" s="383"/>
      <c r="E988" s="383"/>
      <c r="F988" s="383"/>
      <c r="G988" s="383"/>
      <c r="H988" s="383"/>
      <c r="I988" s="383"/>
      <c r="J988" s="383"/>
      <c r="K988" s="383"/>
      <c r="L988" s="383"/>
      <c r="M988" s="132"/>
    </row>
    <row r="989" spans="1:13">
      <c r="A989" s="380"/>
      <c r="B989" s="382"/>
      <c r="C989" s="383"/>
      <c r="D989" s="383"/>
      <c r="E989" s="383"/>
      <c r="F989" s="383"/>
      <c r="G989" s="383"/>
      <c r="H989" s="383"/>
      <c r="I989" s="383"/>
      <c r="J989" s="383"/>
      <c r="K989" s="383"/>
      <c r="L989" s="383"/>
      <c r="M989" s="132"/>
    </row>
    <row r="990" spans="1:13">
      <c r="A990" s="380"/>
      <c r="B990" s="382"/>
      <c r="C990" s="383"/>
      <c r="D990" s="383"/>
      <c r="E990" s="383"/>
      <c r="F990" s="383"/>
      <c r="G990" s="383"/>
      <c r="H990" s="383"/>
      <c r="I990" s="383"/>
      <c r="J990" s="383"/>
      <c r="K990" s="383"/>
      <c r="L990" s="383"/>
      <c r="M990" s="132"/>
    </row>
    <row r="991" spans="1:13">
      <c r="A991" s="380"/>
      <c r="B991" s="382"/>
      <c r="C991" s="383"/>
      <c r="D991" s="383"/>
      <c r="E991" s="383"/>
      <c r="F991" s="383"/>
      <c r="G991" s="383"/>
      <c r="H991" s="383"/>
      <c r="I991" s="383"/>
      <c r="J991" s="383"/>
      <c r="K991" s="383"/>
      <c r="L991" s="383"/>
      <c r="M991" s="132"/>
    </row>
    <row r="992" spans="1:13">
      <c r="A992" s="380"/>
      <c r="B992" s="382"/>
      <c r="C992" s="383"/>
      <c r="D992" s="383"/>
      <c r="E992" s="383"/>
      <c r="F992" s="383"/>
      <c r="G992" s="383"/>
      <c r="H992" s="383"/>
      <c r="I992" s="383"/>
      <c r="J992" s="383"/>
      <c r="K992" s="383"/>
      <c r="L992" s="383"/>
      <c r="M992" s="132"/>
    </row>
    <row r="993" spans="1:14">
      <c r="A993" s="380"/>
      <c r="B993" s="382"/>
      <c r="C993" s="383"/>
      <c r="D993" s="383"/>
      <c r="E993" s="383"/>
      <c r="F993" s="383"/>
      <c r="G993" s="383"/>
      <c r="H993" s="383"/>
      <c r="I993" s="383"/>
      <c r="J993" s="383"/>
      <c r="K993" s="383"/>
      <c r="L993" s="383"/>
      <c r="M993" s="132"/>
    </row>
    <row r="994" spans="1:14">
      <c r="A994" s="380"/>
      <c r="B994" s="382"/>
      <c r="C994" s="383"/>
      <c r="D994" s="383"/>
      <c r="E994" s="383"/>
      <c r="F994" s="383"/>
      <c r="G994" s="383"/>
      <c r="H994" s="383"/>
      <c r="I994" s="383"/>
      <c r="J994" s="383"/>
      <c r="K994" s="383"/>
      <c r="L994" s="383"/>
      <c r="M994" s="132"/>
    </row>
    <row r="995" spans="1:14">
      <c r="A995" s="380"/>
      <c r="B995" s="382"/>
      <c r="C995" s="383"/>
      <c r="D995" s="383"/>
      <c r="E995" s="383"/>
      <c r="F995" s="383"/>
      <c r="G995" s="383"/>
      <c r="H995" s="383"/>
      <c r="I995" s="383"/>
      <c r="J995" s="383"/>
      <c r="K995" s="383"/>
      <c r="L995" s="383"/>
      <c r="M995" s="132"/>
    </row>
    <row r="996" spans="1:14">
      <c r="A996" s="380"/>
      <c r="B996" s="382"/>
      <c r="C996" s="383"/>
      <c r="D996" s="383"/>
      <c r="E996" s="383"/>
      <c r="F996" s="383"/>
      <c r="G996" s="383"/>
      <c r="H996" s="383"/>
      <c r="I996" s="383"/>
      <c r="J996" s="383"/>
      <c r="K996" s="383"/>
      <c r="L996" s="383"/>
      <c r="M996" s="132"/>
    </row>
    <row r="997" spans="1:14">
      <c r="A997" s="380"/>
      <c r="B997" s="382"/>
      <c r="C997" s="383"/>
      <c r="D997" s="383"/>
      <c r="E997" s="383"/>
      <c r="F997" s="383"/>
      <c r="G997" s="383"/>
      <c r="H997" s="383"/>
      <c r="I997" s="383"/>
      <c r="J997" s="383"/>
      <c r="K997" s="383"/>
      <c r="L997" s="383"/>
      <c r="M997" s="132"/>
    </row>
    <row r="998" spans="1:14">
      <c r="A998" s="380"/>
      <c r="B998" s="382"/>
      <c r="C998" s="383"/>
      <c r="D998" s="383"/>
      <c r="E998" s="383"/>
      <c r="F998" s="383"/>
      <c r="G998" s="383"/>
      <c r="H998" s="383"/>
      <c r="I998" s="383"/>
      <c r="J998" s="383"/>
      <c r="K998" s="383"/>
      <c r="L998" s="383"/>
      <c r="M998" s="132"/>
    </row>
    <row r="999" spans="1:14">
      <c r="A999" s="380"/>
      <c r="B999" s="382"/>
      <c r="C999" s="383"/>
      <c r="D999" s="383"/>
      <c r="E999" s="383"/>
      <c r="F999" s="383"/>
      <c r="G999" s="383"/>
      <c r="H999" s="383"/>
      <c r="I999" s="383"/>
      <c r="J999" s="383"/>
      <c r="K999" s="383"/>
      <c r="L999" s="383"/>
      <c r="M999" s="132"/>
    </row>
    <row r="1000" spans="1:14" ht="15.75" customHeight="1">
      <c r="A1000" s="1196" t="s">
        <v>315</v>
      </c>
      <c r="B1000" s="1196"/>
      <c r="N1000" s="116" t="e">
        <f>#REF!+#REF!</f>
        <v>#REF!</v>
      </c>
    </row>
    <row r="1001" spans="1:14" ht="15.75" customHeight="1">
      <c r="A1001" s="1197" t="s">
        <v>316</v>
      </c>
      <c r="B1001" s="1197"/>
      <c r="C1001" s="1197"/>
      <c r="D1001" s="1197"/>
      <c r="E1001" s="1197"/>
      <c r="F1001" s="1197"/>
      <c r="G1001" s="1197"/>
      <c r="H1001" s="1197"/>
      <c r="I1001" s="1197"/>
      <c r="J1001" s="1197"/>
      <c r="K1001" s="1197"/>
      <c r="L1001" s="1197"/>
      <c r="M1001" s="1197"/>
    </row>
    <row r="1002" spans="1:14" ht="15.75" customHeight="1">
      <c r="A1002" s="1198" t="s">
        <v>317</v>
      </c>
      <c r="B1002" s="1198"/>
      <c r="C1002" s="1198"/>
      <c r="D1002" s="1198"/>
      <c r="E1002" s="1198"/>
      <c r="F1002" s="1198"/>
      <c r="G1002" s="1198"/>
      <c r="H1002" s="1198"/>
      <c r="I1002" s="1198"/>
      <c r="J1002" s="1198"/>
      <c r="K1002" s="1198"/>
      <c r="L1002" s="1198"/>
      <c r="M1002" s="1198"/>
    </row>
    <row r="1003" spans="1:14" ht="16.5" customHeight="1">
      <c r="A1003" s="1195" t="s">
        <v>615</v>
      </c>
      <c r="B1003" s="1195"/>
      <c r="C1003" s="1195"/>
      <c r="D1003" s="1195"/>
      <c r="E1003" s="1195"/>
      <c r="F1003" s="1195"/>
      <c r="G1003" s="1195"/>
      <c r="H1003" s="1195"/>
      <c r="I1003" s="1195"/>
      <c r="J1003" s="1195"/>
      <c r="K1003" s="1195"/>
      <c r="L1003" s="1195"/>
      <c r="M1003" s="1195"/>
    </row>
    <row r="1004" spans="1:14">
      <c r="A1004" s="179" t="s">
        <v>63</v>
      </c>
    </row>
    <row r="1005" spans="1:14">
      <c r="A1005" s="755"/>
    </row>
    <row r="1006" spans="1:14">
      <c r="A1006" s="755"/>
    </row>
    <row r="1044" spans="1:2">
      <c r="A1044" s="116"/>
    </row>
    <row r="1045" spans="1:2">
      <c r="A1045" s="116"/>
    </row>
    <row r="1046" spans="1:2">
      <c r="A1046" s="116"/>
    </row>
    <row r="1047" spans="1:2">
      <c r="A1047" s="116"/>
    </row>
    <row r="1048" spans="1:2">
      <c r="A1048" s="116"/>
    </row>
    <row r="1049" spans="1:2">
      <c r="A1049" s="116"/>
    </row>
    <row r="1050" spans="1:2">
      <c r="A1050" s="116"/>
    </row>
    <row r="1051" spans="1:2">
      <c r="A1051" s="116"/>
    </row>
    <row r="1052" spans="1:2">
      <c r="A1052" s="116"/>
      <c r="B1052" s="118"/>
    </row>
    <row r="1053" spans="1:2">
      <c r="A1053" s="116"/>
    </row>
    <row r="1054" spans="1:2">
      <c r="A1054" s="116"/>
    </row>
    <row r="1055" spans="1:2">
      <c r="A1055" s="116"/>
    </row>
    <row r="1056" spans="1:2">
      <c r="A1056" s="116"/>
    </row>
    <row r="1057" spans="1:2">
      <c r="A1057" s="116"/>
      <c r="B1057" s="118"/>
    </row>
    <row r="1058" spans="1:2">
      <c r="A1058" s="116"/>
    </row>
    <row r="1059" spans="1:2">
      <c r="A1059" s="116"/>
    </row>
    <row r="1060" spans="1:2">
      <c r="A1060" s="116"/>
    </row>
    <row r="1061" spans="1:2">
      <c r="A1061" s="116"/>
    </row>
    <row r="1062" spans="1:2">
      <c r="A1062" s="116"/>
    </row>
    <row r="1063" spans="1:2">
      <c r="A1063" s="116"/>
    </row>
    <row r="1064" spans="1:2">
      <c r="A1064" s="116"/>
    </row>
    <row r="1065" spans="1:2">
      <c r="A1065" s="116"/>
    </row>
    <row r="1066" spans="1:2">
      <c r="A1066" s="116"/>
    </row>
    <row r="1067" spans="1:2">
      <c r="A1067" s="116"/>
    </row>
    <row r="1068" spans="1:2">
      <c r="A1068" s="116"/>
    </row>
    <row r="1069" spans="1:2">
      <c r="A1069" s="116"/>
    </row>
    <row r="1070" spans="1:2">
      <c r="A1070" s="116"/>
    </row>
    <row r="1071" spans="1:2">
      <c r="A1071" s="116"/>
    </row>
    <row r="1072" spans="1:2">
      <c r="A1072" s="116"/>
    </row>
    <row r="1073" spans="1:1">
      <c r="A1073" s="116"/>
    </row>
    <row r="1074" spans="1:1">
      <c r="A1074" s="116"/>
    </row>
    <row r="1075" spans="1:1">
      <c r="A1075" s="116"/>
    </row>
    <row r="1076" spans="1:1">
      <c r="A1076" s="116"/>
    </row>
    <row r="1077" spans="1:1">
      <c r="A1077" s="116"/>
    </row>
    <row r="1078" spans="1:1">
      <c r="A1078" s="116"/>
    </row>
    <row r="1079" spans="1:1">
      <c r="A1079" s="116"/>
    </row>
    <row r="1080" spans="1:1">
      <c r="A1080" s="116"/>
    </row>
    <row r="1081" spans="1:1">
      <c r="A1081" s="116"/>
    </row>
    <row r="1082" spans="1:1">
      <c r="A1082" s="116"/>
    </row>
    <row r="1083" spans="1:1">
      <c r="A1083" s="116"/>
    </row>
    <row r="1084" spans="1:1">
      <c r="A1084" s="116"/>
    </row>
    <row r="1085" spans="1:1">
      <c r="A1085" s="116"/>
    </row>
    <row r="1086" spans="1:1">
      <c r="A1086" s="116"/>
    </row>
    <row r="1087" spans="1:1">
      <c r="A1087" s="116"/>
    </row>
    <row r="1088" spans="1:1">
      <c r="A1088" s="116"/>
    </row>
    <row r="1089" spans="1:1">
      <c r="A1089" s="116"/>
    </row>
    <row r="1090" spans="1:1">
      <c r="A1090" s="116"/>
    </row>
    <row r="1091" spans="1:1">
      <c r="A1091" s="116"/>
    </row>
    <row r="1092" spans="1:1">
      <c r="A1092" s="116"/>
    </row>
    <row r="1093" spans="1:1">
      <c r="A1093" s="116"/>
    </row>
    <row r="1094" spans="1:1">
      <c r="A1094" s="116"/>
    </row>
    <row r="1095" spans="1:1">
      <c r="A1095" s="116"/>
    </row>
    <row r="1096" spans="1:1">
      <c r="A1096" s="116"/>
    </row>
    <row r="1097" spans="1:1">
      <c r="A1097" s="116"/>
    </row>
    <row r="1098" spans="1:1">
      <c r="A1098" s="116"/>
    </row>
    <row r="1099" spans="1:1">
      <c r="A1099" s="116"/>
    </row>
    <row r="1100" spans="1:1">
      <c r="A1100" s="116"/>
    </row>
    <row r="1101" spans="1:1">
      <c r="A1101" s="116"/>
    </row>
    <row r="1102" spans="1:1">
      <c r="A1102" s="116"/>
    </row>
    <row r="1103" spans="1:1">
      <c r="A1103" s="116"/>
    </row>
    <row r="1104" spans="1:1">
      <c r="A1104" s="116"/>
    </row>
    <row r="1105" spans="1:1">
      <c r="A1105" s="116"/>
    </row>
    <row r="1106" spans="1:1">
      <c r="A1106" s="116"/>
    </row>
    <row r="1107" spans="1:1">
      <c r="A1107" s="116"/>
    </row>
    <row r="1108" spans="1:1">
      <c r="A1108" s="116"/>
    </row>
    <row r="1109" spans="1:1">
      <c r="A1109" s="116"/>
    </row>
    <row r="1110" spans="1:1">
      <c r="A1110" s="116"/>
    </row>
    <row r="1111" spans="1:1">
      <c r="A1111" s="116"/>
    </row>
    <row r="1112" spans="1:1">
      <c r="A1112" s="116"/>
    </row>
    <row r="1113" spans="1:1">
      <c r="A1113" s="116"/>
    </row>
    <row r="1114" spans="1:1">
      <c r="A1114" s="116"/>
    </row>
    <row r="1115" spans="1:1">
      <c r="A1115" s="116"/>
    </row>
    <row r="1116" spans="1:1">
      <c r="A1116" s="116"/>
    </row>
    <row r="1117" spans="1:1">
      <c r="A1117" s="116"/>
    </row>
    <row r="1118" spans="1:1">
      <c r="A1118" s="116"/>
    </row>
    <row r="1119" spans="1:1">
      <c r="A1119" s="116"/>
    </row>
    <row r="1120" spans="1:1">
      <c r="A1120" s="116"/>
    </row>
    <row r="1121" spans="1:12">
      <c r="A1121" s="116"/>
    </row>
    <row r="1122" spans="1:12">
      <c r="A1122" s="116"/>
    </row>
    <row r="1123" spans="1:12">
      <c r="A1123" s="116"/>
    </row>
    <row r="1124" spans="1:12">
      <c r="A1124" s="116"/>
      <c r="C1124" s="118"/>
      <c r="D1124" s="118"/>
      <c r="E1124" s="118"/>
      <c r="F1124" s="118"/>
      <c r="G1124" s="118"/>
      <c r="H1124" s="118"/>
      <c r="I1124" s="118"/>
      <c r="J1124" s="118"/>
      <c r="K1124" s="118"/>
      <c r="L1124" s="118"/>
    </row>
    <row r="1125" spans="1:12">
      <c r="A1125" s="116"/>
      <c r="C1125" s="118"/>
      <c r="D1125" s="118"/>
      <c r="E1125" s="118"/>
      <c r="F1125" s="118"/>
      <c r="G1125" s="118"/>
      <c r="H1125" s="118"/>
      <c r="I1125" s="118"/>
      <c r="J1125" s="118"/>
      <c r="K1125" s="118"/>
      <c r="L1125" s="118"/>
    </row>
    <row r="1126" spans="1:12" s="118" customFormat="1">
      <c r="A1126" s="116"/>
      <c r="B1126" s="116"/>
    </row>
    <row r="1127" spans="1:12" s="118" customFormat="1">
      <c r="A1127" s="116"/>
      <c r="B1127" s="116"/>
    </row>
    <row r="1128" spans="1:12" s="118" customFormat="1">
      <c r="A1128" s="116"/>
      <c r="B1128" s="116"/>
    </row>
    <row r="1129" spans="1:12" s="118" customFormat="1">
      <c r="A1129" s="116"/>
      <c r="B1129" s="116"/>
    </row>
    <row r="1130" spans="1:12" s="118" customFormat="1">
      <c r="A1130" s="116"/>
      <c r="B1130" s="116"/>
    </row>
    <row r="1131" spans="1:12" s="118" customFormat="1">
      <c r="A1131" s="116"/>
      <c r="B1131" s="116"/>
    </row>
    <row r="1132" spans="1:12" s="118" customFormat="1">
      <c r="A1132" s="116"/>
      <c r="B1132" s="116"/>
    </row>
    <row r="1133" spans="1:12" s="118" customFormat="1">
      <c r="A1133" s="116"/>
      <c r="B1133" s="116"/>
    </row>
    <row r="1134" spans="1:12" s="118" customFormat="1">
      <c r="A1134" s="116"/>
      <c r="B1134" s="116"/>
    </row>
    <row r="1135" spans="1:12" s="118" customFormat="1">
      <c r="A1135" s="116"/>
      <c r="B1135" s="116"/>
    </row>
    <row r="1136" spans="1:12" s="118" customFormat="1">
      <c r="A1136" s="116"/>
      <c r="B1136" s="116"/>
    </row>
    <row r="1137" spans="1:2" s="118" customFormat="1">
      <c r="A1137" s="116"/>
      <c r="B1137" s="116"/>
    </row>
    <row r="1138" spans="1:2" s="118" customFormat="1">
      <c r="A1138" s="116"/>
      <c r="B1138" s="116"/>
    </row>
    <row r="1139" spans="1:2" s="118" customFormat="1">
      <c r="A1139" s="116"/>
      <c r="B1139" s="116"/>
    </row>
    <row r="1140" spans="1:2" s="118" customFormat="1">
      <c r="A1140" s="116"/>
      <c r="B1140" s="116"/>
    </row>
    <row r="1141" spans="1:2" s="118" customFormat="1">
      <c r="A1141" s="116"/>
      <c r="B1141" s="116"/>
    </row>
    <row r="1142" spans="1:2" s="118" customFormat="1">
      <c r="A1142" s="116"/>
      <c r="B1142" s="116"/>
    </row>
    <row r="1143" spans="1:2" s="118" customFormat="1">
      <c r="A1143" s="116"/>
      <c r="B1143" s="116"/>
    </row>
    <row r="1144" spans="1:2" s="118" customFormat="1">
      <c r="A1144" s="116"/>
      <c r="B1144" s="116"/>
    </row>
    <row r="1145" spans="1:2" s="118" customFormat="1">
      <c r="A1145" s="116"/>
      <c r="B1145" s="116"/>
    </row>
    <row r="1146" spans="1:2" s="118" customFormat="1">
      <c r="A1146" s="116"/>
      <c r="B1146" s="116"/>
    </row>
    <row r="1147" spans="1:2" s="118" customFormat="1">
      <c r="A1147" s="116"/>
      <c r="B1147" s="116"/>
    </row>
    <row r="1148" spans="1:2" s="118" customFormat="1">
      <c r="A1148" s="116"/>
      <c r="B1148" s="116"/>
    </row>
    <row r="1149" spans="1:2" s="118" customFormat="1">
      <c r="A1149" s="116"/>
      <c r="B1149" s="116"/>
    </row>
    <row r="1150" spans="1:2" s="118" customFormat="1">
      <c r="A1150" s="116"/>
      <c r="B1150" s="116"/>
    </row>
    <row r="1151" spans="1:2" s="118" customFormat="1">
      <c r="A1151" s="116"/>
      <c r="B1151" s="116"/>
    </row>
    <row r="1152" spans="1:2" s="118" customFormat="1">
      <c r="A1152" s="116"/>
      <c r="B1152" s="116"/>
    </row>
    <row r="1153" spans="1:12" s="118" customFormat="1">
      <c r="A1153" s="116"/>
      <c r="B1153" s="116"/>
    </row>
    <row r="1154" spans="1:12" s="118" customFormat="1">
      <c r="A1154" s="116"/>
      <c r="B1154" s="116"/>
    </row>
    <row r="1155" spans="1:12" s="118" customFormat="1">
      <c r="A1155" s="116"/>
      <c r="B1155" s="116"/>
    </row>
    <row r="1156" spans="1:12" s="118" customFormat="1">
      <c r="A1156" s="116"/>
      <c r="B1156" s="116"/>
    </row>
    <row r="1157" spans="1:12" s="118" customFormat="1">
      <c r="A1157" s="116"/>
      <c r="B1157" s="116"/>
    </row>
    <row r="1158" spans="1:12" s="118" customFormat="1">
      <c r="A1158" s="116"/>
      <c r="B1158" s="116"/>
    </row>
    <row r="1159" spans="1:12" s="118" customFormat="1">
      <c r="A1159" s="116"/>
      <c r="B1159" s="116"/>
    </row>
    <row r="1160" spans="1:12" s="118" customFormat="1">
      <c r="A1160" s="116"/>
      <c r="B1160" s="116"/>
      <c r="C1160" s="116"/>
      <c r="D1160" s="116"/>
      <c r="E1160" s="116"/>
      <c r="F1160" s="116"/>
      <c r="G1160" s="116"/>
      <c r="H1160" s="116"/>
      <c r="I1160" s="116"/>
      <c r="J1160" s="116"/>
      <c r="K1160" s="116"/>
      <c r="L1160" s="116"/>
    </row>
    <row r="1161" spans="1:12" s="118" customFormat="1">
      <c r="A1161" s="116"/>
      <c r="B1161" s="116"/>
      <c r="C1161" s="116"/>
      <c r="D1161" s="116"/>
      <c r="E1161" s="116"/>
      <c r="F1161" s="116"/>
      <c r="G1161" s="116"/>
      <c r="H1161" s="116"/>
      <c r="I1161" s="116"/>
      <c r="J1161" s="116"/>
      <c r="K1161" s="116"/>
      <c r="L1161" s="116"/>
    </row>
    <row r="1162" spans="1:12">
      <c r="A1162" s="116"/>
    </row>
    <row r="1163" spans="1:12">
      <c r="A1163" s="116"/>
    </row>
    <row r="1164" spans="1:12">
      <c r="A1164" s="116"/>
    </row>
    <row r="1165" spans="1:12">
      <c r="A1165" s="116"/>
    </row>
    <row r="1166" spans="1:12">
      <c r="A1166" s="116"/>
    </row>
    <row r="1167" spans="1:12">
      <c r="A1167" s="116"/>
    </row>
    <row r="1168" spans="1:12">
      <c r="A1168" s="116"/>
    </row>
    <row r="1169" spans="1:1">
      <c r="A1169" s="116"/>
    </row>
    <row r="1170" spans="1:1">
      <c r="A1170" s="116"/>
    </row>
    <row r="1171" spans="1:1">
      <c r="A1171" s="116"/>
    </row>
    <row r="1172" spans="1:1">
      <c r="A1172" s="116"/>
    </row>
    <row r="1173" spans="1:1">
      <c r="A1173" s="116"/>
    </row>
    <row r="1174" spans="1:1">
      <c r="A1174" s="116"/>
    </row>
    <row r="1175" spans="1:1">
      <c r="A1175" s="116"/>
    </row>
    <row r="1176" spans="1:1">
      <c r="A1176" s="116"/>
    </row>
    <row r="1177" spans="1:1">
      <c r="A1177" s="116"/>
    </row>
    <row r="1178" spans="1:1">
      <c r="A1178" s="116"/>
    </row>
    <row r="1179" spans="1:1">
      <c r="A1179" s="116"/>
    </row>
    <row r="1180" spans="1:1">
      <c r="A1180" s="116"/>
    </row>
    <row r="1181" spans="1:1">
      <c r="A1181" s="116"/>
    </row>
    <row r="1182" spans="1:1">
      <c r="A1182" s="116"/>
    </row>
    <row r="1183" spans="1:1">
      <c r="A1183" s="116"/>
    </row>
    <row r="1184" spans="1:1">
      <c r="A1184" s="116"/>
    </row>
    <row r="1185" spans="1:12">
      <c r="A1185" s="116"/>
    </row>
    <row r="1186" spans="1:12">
      <c r="A1186" s="116"/>
    </row>
    <row r="1187" spans="1:12">
      <c r="A1187" s="116"/>
    </row>
    <row r="1188" spans="1:12">
      <c r="A1188" s="116"/>
    </row>
    <row r="1189" spans="1:12">
      <c r="A1189" s="116"/>
    </row>
    <row r="1190" spans="1:12">
      <c r="A1190" s="116"/>
    </row>
    <row r="1191" spans="1:12">
      <c r="A1191" s="116"/>
    </row>
    <row r="1192" spans="1:12">
      <c r="A1192" s="116"/>
    </row>
    <row r="1193" spans="1:12">
      <c r="A1193" s="116"/>
    </row>
    <row r="1194" spans="1:12">
      <c r="A1194" s="116"/>
    </row>
    <row r="1195" spans="1:12">
      <c r="A1195" s="116"/>
    </row>
    <row r="1196" spans="1:12">
      <c r="A1196" s="116"/>
    </row>
    <row r="1197" spans="1:12">
      <c r="A1197" s="116"/>
    </row>
    <row r="1198" spans="1:12">
      <c r="A1198" s="116"/>
    </row>
    <row r="1199" spans="1:12">
      <c r="A1199" s="116"/>
      <c r="C1199" s="118"/>
      <c r="D1199" s="118"/>
      <c r="E1199" s="118"/>
      <c r="F1199" s="118"/>
      <c r="G1199" s="118"/>
      <c r="H1199" s="118"/>
      <c r="I1199" s="118"/>
      <c r="J1199" s="118"/>
      <c r="K1199" s="118"/>
      <c r="L1199" s="118"/>
    </row>
    <row r="1200" spans="1:12">
      <c r="A1200" s="116"/>
      <c r="C1200" s="118"/>
      <c r="D1200" s="118"/>
      <c r="E1200" s="118"/>
      <c r="F1200" s="118"/>
      <c r="G1200" s="118"/>
      <c r="H1200" s="118"/>
      <c r="I1200" s="118"/>
      <c r="J1200" s="118"/>
      <c r="K1200" s="118"/>
      <c r="L1200" s="118"/>
    </row>
    <row r="1201" spans="1:12" s="118" customFormat="1">
      <c r="A1201" s="116"/>
      <c r="B1201" s="116"/>
    </row>
    <row r="1202" spans="1:12" s="118" customFormat="1">
      <c r="A1202" s="116"/>
      <c r="B1202" s="116"/>
    </row>
    <row r="1203" spans="1:12" s="118" customFormat="1">
      <c r="A1203" s="116"/>
      <c r="B1203" s="116"/>
    </row>
    <row r="1204" spans="1:12" s="118" customFormat="1">
      <c r="A1204" s="116"/>
      <c r="B1204" s="116"/>
    </row>
    <row r="1205" spans="1:12" s="118" customFormat="1">
      <c r="A1205" s="116"/>
      <c r="B1205" s="116"/>
    </row>
    <row r="1206" spans="1:12" s="118" customFormat="1">
      <c r="A1206" s="116"/>
      <c r="B1206" s="116"/>
    </row>
    <row r="1207" spans="1:12" s="118" customFormat="1">
      <c r="A1207" s="116"/>
      <c r="B1207" s="116"/>
    </row>
    <row r="1208" spans="1:12" s="118" customFormat="1">
      <c r="A1208" s="116"/>
      <c r="B1208" s="116"/>
    </row>
    <row r="1209" spans="1:12" s="118" customFormat="1">
      <c r="A1209" s="116"/>
      <c r="B1209" s="116"/>
    </row>
    <row r="1210" spans="1:12" s="118" customFormat="1">
      <c r="A1210" s="116"/>
      <c r="B1210" s="116"/>
    </row>
    <row r="1211" spans="1:12" s="118" customFormat="1">
      <c r="A1211" s="116"/>
      <c r="B1211" s="116"/>
    </row>
    <row r="1212" spans="1:12" s="118" customFormat="1">
      <c r="A1212" s="116"/>
      <c r="B1212" s="116"/>
    </row>
    <row r="1213" spans="1:12" s="118" customFormat="1">
      <c r="A1213" s="116"/>
      <c r="B1213" s="116"/>
    </row>
    <row r="1214" spans="1:12" s="118" customFormat="1">
      <c r="A1214" s="116"/>
      <c r="B1214" s="116"/>
    </row>
    <row r="1215" spans="1:12" s="118" customFormat="1">
      <c r="A1215" s="116"/>
      <c r="B1215" s="116"/>
      <c r="C1215" s="116"/>
      <c r="D1215" s="116"/>
      <c r="E1215" s="116"/>
      <c r="F1215" s="116"/>
      <c r="G1215" s="116"/>
      <c r="H1215" s="116"/>
      <c r="I1215" s="116"/>
      <c r="J1215" s="116"/>
      <c r="K1215" s="116"/>
      <c r="L1215" s="116"/>
    </row>
    <row r="1216" spans="1:12" s="118" customFormat="1">
      <c r="A1216" s="116"/>
      <c r="B1216" s="116"/>
    </row>
    <row r="1217" spans="1:12">
      <c r="A1217" s="116"/>
      <c r="C1217" s="118"/>
      <c r="D1217" s="118"/>
      <c r="E1217" s="118"/>
      <c r="F1217" s="118"/>
      <c r="G1217" s="118"/>
      <c r="H1217" s="118"/>
      <c r="I1217" s="118"/>
      <c r="J1217" s="118"/>
      <c r="K1217" s="118"/>
      <c r="L1217" s="118"/>
    </row>
    <row r="1218" spans="1:12" s="118" customFormat="1">
      <c r="A1218" s="116"/>
      <c r="B1218" s="116"/>
    </row>
    <row r="1219" spans="1:12" s="118" customFormat="1">
      <c r="A1219" s="116"/>
      <c r="B1219" s="116"/>
      <c r="C1219" s="116"/>
      <c r="D1219" s="116"/>
      <c r="E1219" s="116"/>
      <c r="F1219" s="116"/>
      <c r="G1219" s="116"/>
      <c r="H1219" s="116"/>
      <c r="I1219" s="116"/>
      <c r="J1219" s="116"/>
      <c r="K1219" s="116"/>
      <c r="L1219" s="116"/>
    </row>
    <row r="1220" spans="1:12" s="118" customFormat="1">
      <c r="A1220" s="116"/>
      <c r="B1220" s="116"/>
      <c r="C1220" s="116"/>
      <c r="D1220" s="116"/>
      <c r="E1220" s="116"/>
      <c r="F1220" s="116"/>
      <c r="G1220" s="116"/>
      <c r="H1220" s="116"/>
      <c r="I1220" s="116"/>
      <c r="J1220" s="116"/>
      <c r="K1220" s="116"/>
      <c r="L1220" s="116"/>
    </row>
    <row r="1221" spans="1:12">
      <c r="A1221" s="116"/>
    </row>
    <row r="1222" spans="1:12">
      <c r="A1222" s="116"/>
    </row>
    <row r="1223" spans="1:12">
      <c r="A1223" s="116"/>
    </row>
    <row r="1224" spans="1:12">
      <c r="A1224" s="116"/>
    </row>
    <row r="1225" spans="1:12">
      <c r="A1225" s="116"/>
    </row>
    <row r="1226" spans="1:12">
      <c r="A1226" s="116"/>
    </row>
    <row r="1227" spans="1:12">
      <c r="A1227" s="116"/>
    </row>
    <row r="1228" spans="1:12">
      <c r="A1228" s="116"/>
    </row>
    <row r="1229" spans="1:12">
      <c r="A1229" s="116"/>
    </row>
    <row r="1230" spans="1:12">
      <c r="A1230" s="116"/>
    </row>
    <row r="1231" spans="1:12">
      <c r="A1231" s="116"/>
    </row>
    <row r="1232" spans="1:12">
      <c r="A1232" s="116"/>
      <c r="C1232" s="118"/>
      <c r="D1232" s="118"/>
      <c r="E1232" s="118"/>
      <c r="F1232" s="118"/>
      <c r="G1232" s="118"/>
      <c r="H1232" s="118"/>
      <c r="I1232" s="118"/>
      <c r="J1232" s="118"/>
      <c r="K1232" s="118"/>
      <c r="L1232" s="118"/>
    </row>
    <row r="1233" spans="1:12">
      <c r="A1233" s="116"/>
    </row>
    <row r="1234" spans="1:12" s="118" customFormat="1">
      <c r="A1234" s="116"/>
      <c r="B1234" s="116"/>
      <c r="C1234" s="116"/>
      <c r="D1234" s="116"/>
      <c r="E1234" s="116"/>
      <c r="F1234" s="116"/>
      <c r="G1234" s="116"/>
      <c r="H1234" s="116"/>
      <c r="I1234" s="116"/>
      <c r="J1234" s="116"/>
      <c r="K1234" s="116"/>
      <c r="L1234" s="116"/>
    </row>
    <row r="1235" spans="1:12">
      <c r="A1235" s="116"/>
    </row>
    <row r="1236" spans="1:12">
      <c r="A1236" s="116"/>
    </row>
    <row r="1237" spans="1:12">
      <c r="A1237" s="116"/>
    </row>
    <row r="1238" spans="1:12">
      <c r="A1238" s="116"/>
    </row>
    <row r="1239" spans="1:12">
      <c r="A1239" s="116"/>
    </row>
    <row r="1240" spans="1:12">
      <c r="A1240" s="116"/>
    </row>
    <row r="1241" spans="1:12">
      <c r="A1241" s="116"/>
      <c r="C1241" s="118"/>
      <c r="D1241" s="118"/>
      <c r="E1241" s="118"/>
      <c r="F1241" s="118"/>
      <c r="G1241" s="118"/>
      <c r="H1241" s="118"/>
      <c r="I1241" s="118"/>
      <c r="J1241" s="118"/>
      <c r="K1241" s="118"/>
      <c r="L1241" s="118"/>
    </row>
    <row r="1242" spans="1:12">
      <c r="A1242" s="116"/>
    </row>
    <row r="1243" spans="1:12" s="118" customFormat="1">
      <c r="A1243" s="116"/>
      <c r="B1243" s="116"/>
      <c r="C1243" s="116"/>
      <c r="D1243" s="116"/>
      <c r="E1243" s="116"/>
      <c r="F1243" s="116"/>
      <c r="G1243" s="116"/>
      <c r="H1243" s="116"/>
      <c r="I1243" s="116"/>
      <c r="J1243" s="116"/>
      <c r="K1243" s="116"/>
      <c r="L1243" s="116"/>
    </row>
    <row r="1244" spans="1:12">
      <c r="A1244" s="116"/>
    </row>
    <row r="1245" spans="1:12">
      <c r="A1245" s="116"/>
      <c r="C1245" s="118"/>
      <c r="D1245" s="118"/>
      <c r="E1245" s="118"/>
      <c r="F1245" s="118"/>
      <c r="G1245" s="118"/>
      <c r="H1245" s="118"/>
      <c r="I1245" s="118"/>
      <c r="J1245" s="118"/>
      <c r="K1245" s="118"/>
      <c r="L1245" s="118"/>
    </row>
    <row r="1246" spans="1:12">
      <c r="A1246" s="116"/>
      <c r="C1246" s="118"/>
      <c r="D1246" s="118"/>
      <c r="E1246" s="118"/>
      <c r="F1246" s="118"/>
      <c r="G1246" s="118"/>
      <c r="H1246" s="118"/>
      <c r="I1246" s="118"/>
      <c r="J1246" s="118"/>
      <c r="K1246" s="118"/>
      <c r="L1246" s="118"/>
    </row>
    <row r="1247" spans="1:12" s="118" customFormat="1">
      <c r="A1247" s="116"/>
      <c r="B1247" s="116"/>
      <c r="C1247" s="116"/>
      <c r="D1247" s="116"/>
      <c r="E1247" s="116"/>
      <c r="F1247" s="116"/>
      <c r="G1247" s="116"/>
      <c r="H1247" s="116"/>
      <c r="I1247" s="116"/>
      <c r="J1247" s="116"/>
      <c r="K1247" s="116"/>
      <c r="L1247" s="116"/>
    </row>
    <row r="1248" spans="1:12" s="118" customFormat="1">
      <c r="A1248" s="116"/>
      <c r="B1248" s="116"/>
      <c r="C1248" s="116"/>
      <c r="D1248" s="116"/>
      <c r="E1248" s="116"/>
      <c r="F1248" s="116"/>
      <c r="G1248" s="116"/>
      <c r="H1248" s="116"/>
      <c r="I1248" s="116"/>
      <c r="J1248" s="116"/>
      <c r="K1248" s="116"/>
      <c r="L1248" s="116"/>
    </row>
    <row r="1249" spans="1:12">
      <c r="A1249" s="116"/>
    </row>
    <row r="1250" spans="1:12">
      <c r="A1250" s="116"/>
    </row>
    <row r="1251" spans="1:12">
      <c r="A1251" s="116"/>
    </row>
    <row r="1252" spans="1:12">
      <c r="A1252" s="116"/>
    </row>
    <row r="1253" spans="1:12">
      <c r="A1253" s="116"/>
    </row>
    <row r="1254" spans="1:12">
      <c r="A1254" s="116"/>
    </row>
    <row r="1255" spans="1:12">
      <c r="A1255" s="116"/>
    </row>
    <row r="1256" spans="1:12">
      <c r="A1256" s="116"/>
      <c r="C1256" s="118"/>
      <c r="D1256" s="118"/>
      <c r="E1256" s="118"/>
      <c r="F1256" s="118"/>
      <c r="G1256" s="118"/>
      <c r="H1256" s="118"/>
      <c r="I1256" s="118"/>
      <c r="J1256" s="118"/>
      <c r="K1256" s="118"/>
      <c r="L1256" s="118"/>
    </row>
    <row r="1257" spans="1:12">
      <c r="A1257" s="116"/>
      <c r="C1257" s="118"/>
      <c r="D1257" s="118"/>
      <c r="E1257" s="118"/>
      <c r="F1257" s="118"/>
      <c r="G1257" s="118"/>
      <c r="H1257" s="118"/>
      <c r="I1257" s="118"/>
      <c r="J1257" s="118"/>
      <c r="K1257" s="118"/>
      <c r="L1257" s="118"/>
    </row>
    <row r="1258" spans="1:12" s="118" customFormat="1">
      <c r="A1258" s="116"/>
      <c r="B1258" s="116"/>
    </row>
    <row r="1259" spans="1:12" s="118" customFormat="1">
      <c r="A1259" s="116"/>
      <c r="B1259" s="116"/>
    </row>
    <row r="1260" spans="1:12" s="118" customFormat="1">
      <c r="A1260" s="116"/>
      <c r="B1260" s="116"/>
    </row>
    <row r="1261" spans="1:12" s="118" customFormat="1">
      <c r="A1261" s="116"/>
      <c r="B1261" s="116"/>
    </row>
    <row r="1262" spans="1:12" s="118" customFormat="1">
      <c r="A1262" s="116"/>
      <c r="B1262" s="116"/>
    </row>
    <row r="1263" spans="1:12" s="118" customFormat="1">
      <c r="A1263" s="116"/>
      <c r="B1263" s="116"/>
    </row>
    <row r="1264" spans="1:12" s="118" customFormat="1">
      <c r="A1264" s="116"/>
      <c r="B1264" s="116"/>
    </row>
    <row r="1265" spans="1:2" s="118" customFormat="1">
      <c r="A1265" s="116"/>
      <c r="B1265" s="116"/>
    </row>
    <row r="1266" spans="1:2" s="118" customFormat="1">
      <c r="A1266" s="116"/>
      <c r="B1266" s="116"/>
    </row>
    <row r="1267" spans="1:2" s="118" customFormat="1">
      <c r="A1267" s="116"/>
      <c r="B1267" s="116"/>
    </row>
    <row r="1268" spans="1:2" s="118" customFormat="1">
      <c r="A1268" s="116"/>
      <c r="B1268" s="116"/>
    </row>
    <row r="1269" spans="1:2" s="118" customFormat="1">
      <c r="A1269" s="116"/>
      <c r="B1269" s="116"/>
    </row>
    <row r="1270" spans="1:2" s="118" customFormat="1">
      <c r="A1270" s="116"/>
      <c r="B1270" s="116"/>
    </row>
    <row r="1271" spans="1:2" s="118" customFormat="1">
      <c r="A1271" s="116"/>
      <c r="B1271" s="116"/>
    </row>
    <row r="1272" spans="1:2" s="118" customFormat="1">
      <c r="A1272" s="116"/>
      <c r="B1272" s="116"/>
    </row>
    <row r="1273" spans="1:2" s="118" customFormat="1">
      <c r="A1273" s="116"/>
      <c r="B1273" s="116"/>
    </row>
    <row r="1274" spans="1:2" s="118" customFormat="1">
      <c r="A1274" s="116"/>
      <c r="B1274" s="116"/>
    </row>
    <row r="1275" spans="1:2" s="118" customFormat="1">
      <c r="A1275" s="116"/>
      <c r="B1275" s="116"/>
    </row>
    <row r="1276" spans="1:2" s="118" customFormat="1">
      <c r="A1276" s="116"/>
      <c r="B1276" s="116"/>
    </row>
    <row r="1277" spans="1:2" s="118" customFormat="1">
      <c r="A1277" s="116"/>
      <c r="B1277" s="116"/>
    </row>
    <row r="1278" spans="1:2" s="118" customFormat="1">
      <c r="A1278" s="116"/>
      <c r="B1278" s="116"/>
    </row>
    <row r="1279" spans="1:2" s="118" customFormat="1">
      <c r="A1279" s="116"/>
      <c r="B1279" s="116"/>
    </row>
    <row r="1280" spans="1:2" s="118" customFormat="1">
      <c r="A1280" s="116"/>
      <c r="B1280" s="116"/>
    </row>
    <row r="1281" spans="1:12" s="118" customFormat="1">
      <c r="A1281" s="116"/>
      <c r="B1281" s="116"/>
    </row>
    <row r="1282" spans="1:12" s="118" customFormat="1">
      <c r="A1282" s="116"/>
      <c r="B1282" s="116"/>
    </row>
    <row r="1283" spans="1:12" s="118" customFormat="1">
      <c r="A1283" s="116"/>
      <c r="B1283" s="116"/>
    </row>
    <row r="1284" spans="1:12" s="118" customFormat="1">
      <c r="A1284" s="116"/>
      <c r="B1284" s="116"/>
    </row>
    <row r="1285" spans="1:12" s="118" customFormat="1">
      <c r="A1285" s="116"/>
      <c r="B1285" s="116"/>
    </row>
    <row r="1286" spans="1:12" s="118" customFormat="1">
      <c r="A1286" s="116"/>
      <c r="B1286" s="116"/>
    </row>
    <row r="1287" spans="1:12" s="118" customFormat="1">
      <c r="A1287" s="116"/>
      <c r="B1287" s="116"/>
    </row>
    <row r="1288" spans="1:12" s="118" customFormat="1">
      <c r="A1288" s="116"/>
      <c r="B1288" s="116"/>
    </row>
    <row r="1289" spans="1:12" s="118" customFormat="1">
      <c r="A1289" s="116"/>
      <c r="B1289" s="116"/>
    </row>
    <row r="1290" spans="1:12" s="118" customFormat="1">
      <c r="A1290" s="116"/>
      <c r="B1290" s="116"/>
    </row>
    <row r="1291" spans="1:12" s="118" customFormat="1">
      <c r="A1291" s="116"/>
      <c r="B1291" s="116"/>
    </row>
    <row r="1292" spans="1:12" s="118" customFormat="1">
      <c r="A1292" s="116"/>
      <c r="B1292" s="116"/>
    </row>
    <row r="1293" spans="1:12" s="118" customFormat="1">
      <c r="A1293" s="116"/>
      <c r="B1293" s="116"/>
      <c r="C1293" s="116"/>
      <c r="D1293" s="116"/>
      <c r="E1293" s="116"/>
      <c r="F1293" s="116"/>
      <c r="G1293" s="116"/>
      <c r="H1293" s="116"/>
      <c r="I1293" s="116"/>
      <c r="J1293" s="116"/>
      <c r="K1293" s="116"/>
      <c r="L1293" s="116"/>
    </row>
    <row r="1294" spans="1:12" s="118" customFormat="1">
      <c r="A1294" s="116"/>
      <c r="B1294" s="116"/>
      <c r="C1294" s="116"/>
      <c r="D1294" s="116"/>
      <c r="E1294" s="116"/>
      <c r="F1294" s="116"/>
      <c r="G1294" s="116"/>
      <c r="H1294" s="116"/>
      <c r="I1294" s="116"/>
      <c r="J1294" s="116"/>
      <c r="K1294" s="116"/>
      <c r="L1294" s="116"/>
    </row>
    <row r="1295" spans="1:12">
      <c r="A1295" s="116"/>
      <c r="C1295" s="118"/>
      <c r="D1295" s="118"/>
      <c r="E1295" s="118"/>
      <c r="F1295" s="118"/>
      <c r="G1295" s="118"/>
      <c r="H1295" s="118"/>
      <c r="I1295" s="118"/>
      <c r="J1295" s="118"/>
      <c r="K1295" s="118"/>
      <c r="L1295" s="118"/>
    </row>
    <row r="1296" spans="1:12">
      <c r="A1296" s="116"/>
    </row>
    <row r="1297" spans="1:12" s="118" customFormat="1">
      <c r="A1297" s="116"/>
      <c r="B1297" s="116"/>
      <c r="C1297" s="116"/>
      <c r="D1297" s="116"/>
      <c r="E1297" s="116"/>
      <c r="F1297" s="116"/>
      <c r="G1297" s="116"/>
      <c r="H1297" s="116"/>
      <c r="I1297" s="116"/>
      <c r="J1297" s="116"/>
      <c r="K1297" s="116"/>
      <c r="L1297" s="116"/>
    </row>
    <row r="1298" spans="1:12">
      <c r="A1298" s="116"/>
    </row>
    <row r="1299" spans="1:12">
      <c r="A1299" s="116"/>
    </row>
    <row r="1300" spans="1:12">
      <c r="A1300" s="116"/>
    </row>
    <row r="1301" spans="1:12">
      <c r="A1301" s="116"/>
    </row>
    <row r="1302" spans="1:12">
      <c r="A1302" s="116"/>
    </row>
    <row r="1303" spans="1:12">
      <c r="A1303" s="116"/>
    </row>
    <row r="1304" spans="1:12">
      <c r="A1304" s="116"/>
    </row>
    <row r="1305" spans="1:12">
      <c r="A1305" s="116"/>
    </row>
    <row r="1306" spans="1:12">
      <c r="A1306" s="116"/>
    </row>
    <row r="1307" spans="1:12">
      <c r="A1307" s="116"/>
    </row>
    <row r="1308" spans="1:12">
      <c r="A1308" s="116"/>
    </row>
    <row r="1309" spans="1:12">
      <c r="A1309" s="116"/>
      <c r="C1309" s="118"/>
      <c r="D1309" s="118"/>
      <c r="E1309" s="118"/>
      <c r="F1309" s="118"/>
      <c r="G1309" s="118"/>
      <c r="H1309" s="118"/>
      <c r="I1309" s="118"/>
      <c r="J1309" s="118"/>
      <c r="K1309" s="118"/>
      <c r="L1309" s="118"/>
    </row>
    <row r="1310" spans="1:12">
      <c r="A1310" s="116"/>
    </row>
    <row r="1311" spans="1:12" s="118" customFormat="1">
      <c r="A1311" s="116"/>
      <c r="B1311" s="116"/>
      <c r="C1311" s="116"/>
      <c r="D1311" s="116"/>
      <c r="E1311" s="116"/>
      <c r="F1311" s="116"/>
      <c r="G1311" s="116"/>
      <c r="H1311" s="116"/>
      <c r="I1311" s="116"/>
      <c r="J1311" s="116"/>
      <c r="K1311" s="116"/>
      <c r="L1311" s="116"/>
    </row>
    <row r="1312" spans="1:12">
      <c r="A1312" s="116"/>
    </row>
    <row r="1313" spans="1:1">
      <c r="A1313" s="116"/>
    </row>
    <row r="1314" spans="1:1">
      <c r="A1314" s="116"/>
    </row>
    <row r="1315" spans="1:1">
      <c r="A1315" s="116"/>
    </row>
    <row r="1316" spans="1:1">
      <c r="A1316" s="116"/>
    </row>
    <row r="1317" spans="1:1">
      <c r="A1317" s="116"/>
    </row>
    <row r="1318" spans="1:1">
      <c r="A1318" s="116"/>
    </row>
    <row r="1319" spans="1:1">
      <c r="A1319" s="116"/>
    </row>
    <row r="1320" spans="1:1">
      <c r="A1320" s="116"/>
    </row>
    <row r="1321" spans="1:1">
      <c r="A1321" s="116"/>
    </row>
    <row r="1322" spans="1:1">
      <c r="A1322" s="116"/>
    </row>
    <row r="1323" spans="1:1">
      <c r="A1323" s="116"/>
    </row>
    <row r="1324" spans="1:1">
      <c r="A1324" s="116"/>
    </row>
    <row r="1325" spans="1:1">
      <c r="A1325" s="116"/>
    </row>
    <row r="1326" spans="1:1">
      <c r="A1326" s="116"/>
    </row>
    <row r="1327" spans="1:1">
      <c r="A1327" s="116"/>
    </row>
    <row r="1328" spans="1:1">
      <c r="A1328" s="116"/>
    </row>
    <row r="1329" spans="1:1">
      <c r="A1329" s="116"/>
    </row>
    <row r="1330" spans="1:1">
      <c r="A1330" s="116"/>
    </row>
    <row r="1331" spans="1:1">
      <c r="A1331" s="116"/>
    </row>
    <row r="1332" spans="1:1">
      <c r="A1332" s="116"/>
    </row>
    <row r="1333" spans="1:1">
      <c r="A1333" s="116"/>
    </row>
    <row r="1334" spans="1:1">
      <c r="A1334" s="116"/>
    </row>
    <row r="1335" spans="1:1">
      <c r="A1335" s="116"/>
    </row>
    <row r="1336" spans="1:1">
      <c r="A1336" s="116"/>
    </row>
    <row r="1337" spans="1:1">
      <c r="A1337" s="116"/>
    </row>
    <row r="1338" spans="1:1">
      <c r="A1338" s="116"/>
    </row>
    <row r="1339" spans="1:1">
      <c r="A1339" s="116"/>
    </row>
    <row r="1340" spans="1:1">
      <c r="A1340" s="116"/>
    </row>
    <row r="1341" spans="1:1">
      <c r="A1341" s="116"/>
    </row>
    <row r="1342" spans="1:1">
      <c r="A1342" s="116"/>
    </row>
    <row r="1343" spans="1:1">
      <c r="A1343" s="116"/>
    </row>
    <row r="1344" spans="1:1">
      <c r="A1344" s="116"/>
    </row>
    <row r="1345" spans="1:12">
      <c r="A1345" s="116"/>
    </row>
    <row r="1346" spans="1:12">
      <c r="A1346" s="116"/>
    </row>
    <row r="1347" spans="1:12">
      <c r="A1347" s="116"/>
      <c r="C1347" s="118"/>
      <c r="D1347" s="118"/>
      <c r="E1347" s="118"/>
      <c r="F1347" s="118"/>
      <c r="G1347" s="118"/>
      <c r="H1347" s="118"/>
      <c r="I1347" s="118"/>
      <c r="J1347" s="118"/>
      <c r="K1347" s="118"/>
      <c r="L1347" s="118"/>
    </row>
    <row r="1348" spans="1:12">
      <c r="A1348" s="116"/>
    </row>
    <row r="1349" spans="1:12" s="118" customFormat="1">
      <c r="A1349" s="116"/>
      <c r="B1349" s="116"/>
      <c r="C1349" s="116"/>
      <c r="D1349" s="116"/>
      <c r="E1349" s="116"/>
      <c r="F1349" s="116"/>
      <c r="G1349" s="116"/>
      <c r="H1349" s="116"/>
      <c r="I1349" s="116"/>
      <c r="J1349" s="116"/>
      <c r="K1349" s="116"/>
      <c r="L1349" s="116"/>
    </row>
    <row r="1350" spans="1:12">
      <c r="A1350" s="116"/>
    </row>
    <row r="1351" spans="1:12">
      <c r="A1351" s="116"/>
    </row>
    <row r="1352" spans="1:12">
      <c r="A1352" s="116"/>
    </row>
    <row r="1353" spans="1:12">
      <c r="A1353" s="116"/>
    </row>
    <row r="1354" spans="1:12">
      <c r="A1354" s="116"/>
    </row>
    <row r="1355" spans="1:12">
      <c r="A1355" s="116"/>
    </row>
    <row r="1356" spans="1:12">
      <c r="A1356" s="116"/>
    </row>
    <row r="1357" spans="1:12">
      <c r="A1357" s="116"/>
    </row>
    <row r="1358" spans="1:12">
      <c r="A1358" s="116"/>
    </row>
    <row r="1359" spans="1:12">
      <c r="A1359" s="116"/>
    </row>
    <row r="1360" spans="1:12">
      <c r="A1360" s="116"/>
    </row>
    <row r="1361" spans="1:12">
      <c r="A1361" s="116"/>
    </row>
    <row r="1362" spans="1:12">
      <c r="A1362" s="116"/>
    </row>
    <row r="1363" spans="1:12">
      <c r="A1363" s="116"/>
    </row>
    <row r="1364" spans="1:12">
      <c r="A1364" s="116"/>
    </row>
    <row r="1365" spans="1:12">
      <c r="A1365" s="116"/>
    </row>
    <row r="1366" spans="1:12">
      <c r="A1366" s="116"/>
    </row>
    <row r="1367" spans="1:12">
      <c r="A1367" s="116"/>
      <c r="C1367" s="118"/>
      <c r="D1367" s="118"/>
      <c r="E1367" s="118"/>
      <c r="F1367" s="118"/>
      <c r="G1367" s="118"/>
      <c r="H1367" s="118"/>
      <c r="I1367" s="118"/>
      <c r="J1367" s="118"/>
      <c r="K1367" s="118"/>
      <c r="L1367" s="118"/>
    </row>
    <row r="1368" spans="1:12">
      <c r="A1368" s="116"/>
    </row>
    <row r="1369" spans="1:12" s="118" customFormat="1">
      <c r="A1369" s="116"/>
      <c r="B1369" s="116"/>
      <c r="C1369" s="116"/>
      <c r="D1369" s="116"/>
      <c r="E1369" s="116"/>
      <c r="F1369" s="116"/>
      <c r="G1369" s="116"/>
      <c r="H1369" s="116"/>
      <c r="I1369" s="116"/>
      <c r="J1369" s="116"/>
      <c r="K1369" s="116"/>
      <c r="L1369" s="116"/>
    </row>
    <row r="1370" spans="1:12">
      <c r="A1370" s="116"/>
    </row>
    <row r="1371" spans="1:12">
      <c r="A1371" s="116"/>
    </row>
    <row r="1372" spans="1:12">
      <c r="A1372" s="116"/>
      <c r="C1372" s="118"/>
      <c r="D1372" s="118"/>
      <c r="E1372" s="118"/>
      <c r="F1372" s="118"/>
      <c r="G1372" s="118"/>
      <c r="H1372" s="118"/>
      <c r="I1372" s="118"/>
      <c r="J1372" s="118"/>
      <c r="K1372" s="118"/>
      <c r="L1372" s="118"/>
    </row>
    <row r="1373" spans="1:12">
      <c r="A1373" s="116"/>
    </row>
    <row r="1374" spans="1:12" s="118" customFormat="1">
      <c r="A1374" s="116"/>
      <c r="B1374" s="116"/>
      <c r="C1374" s="116"/>
      <c r="D1374" s="116"/>
      <c r="E1374" s="116"/>
      <c r="F1374" s="116"/>
      <c r="G1374" s="116"/>
      <c r="H1374" s="116"/>
      <c r="I1374" s="116"/>
      <c r="J1374" s="116"/>
      <c r="K1374" s="116"/>
      <c r="L1374" s="116"/>
    </row>
    <row r="1375" spans="1:12">
      <c r="A1375" s="116"/>
    </row>
    <row r="1376" spans="1:12">
      <c r="A1376" s="116"/>
    </row>
    <row r="1377" spans="1:1">
      <c r="A1377" s="116"/>
    </row>
    <row r="1378" spans="1:1">
      <c r="A1378" s="116"/>
    </row>
    <row r="1379" spans="1:1">
      <c r="A1379" s="116"/>
    </row>
    <row r="1380" spans="1:1">
      <c r="A1380" s="116"/>
    </row>
    <row r="1381" spans="1:1">
      <c r="A1381" s="116"/>
    </row>
    <row r="1382" spans="1:1">
      <c r="A1382" s="116"/>
    </row>
    <row r="1383" spans="1:1">
      <c r="A1383" s="116"/>
    </row>
    <row r="1384" spans="1:1">
      <c r="A1384" s="116"/>
    </row>
    <row r="1385" spans="1:1">
      <c r="A1385" s="116"/>
    </row>
    <row r="1386" spans="1:1">
      <c r="A1386" s="116"/>
    </row>
    <row r="1387" spans="1:1">
      <c r="A1387" s="116"/>
    </row>
    <row r="1388" spans="1:1">
      <c r="A1388" s="116"/>
    </row>
    <row r="1389" spans="1:1">
      <c r="A1389" s="116"/>
    </row>
    <row r="1390" spans="1:1">
      <c r="A1390" s="116"/>
    </row>
    <row r="1391" spans="1:1">
      <c r="A1391" s="116"/>
    </row>
    <row r="1392" spans="1:1">
      <c r="A1392" s="116"/>
    </row>
    <row r="1393" spans="1:1">
      <c r="A1393" s="116"/>
    </row>
    <row r="1394" spans="1:1">
      <c r="A1394" s="116"/>
    </row>
    <row r="1395" spans="1:1">
      <c r="A1395" s="116"/>
    </row>
    <row r="1396" spans="1:1">
      <c r="A1396" s="116"/>
    </row>
    <row r="1397" spans="1:1">
      <c r="A1397" s="116"/>
    </row>
    <row r="1398" spans="1:1">
      <c r="A1398" s="116"/>
    </row>
    <row r="1399" spans="1:1">
      <c r="A1399" s="116"/>
    </row>
    <row r="1400" spans="1:1">
      <c r="A1400" s="116"/>
    </row>
    <row r="1401" spans="1:1">
      <c r="A1401" s="116"/>
    </row>
    <row r="1402" spans="1:1">
      <c r="A1402" s="116"/>
    </row>
    <row r="1403" spans="1:1">
      <c r="A1403" s="116"/>
    </row>
    <row r="1404" spans="1:1">
      <c r="A1404" s="116"/>
    </row>
    <row r="1405" spans="1:1">
      <c r="A1405" s="116"/>
    </row>
    <row r="1406" spans="1:1">
      <c r="A1406" s="116"/>
    </row>
    <row r="1407" spans="1:1">
      <c r="A1407" s="116"/>
    </row>
    <row r="1408" spans="1:1">
      <c r="A1408" s="116"/>
    </row>
    <row r="1409" spans="1:1">
      <c r="A1409" s="116"/>
    </row>
    <row r="1410" spans="1:1">
      <c r="A1410" s="116"/>
    </row>
    <row r="1411" spans="1:1">
      <c r="A1411" s="116"/>
    </row>
    <row r="1412" spans="1:1">
      <c r="A1412" s="116"/>
    </row>
    <row r="1413" spans="1:1">
      <c r="A1413" s="116"/>
    </row>
    <row r="1414" spans="1:1">
      <c r="A1414" s="116"/>
    </row>
    <row r="1415" spans="1:1">
      <c r="A1415" s="116"/>
    </row>
    <row r="1416" spans="1:1">
      <c r="A1416" s="116"/>
    </row>
    <row r="1417" spans="1:1">
      <c r="A1417" s="116"/>
    </row>
    <row r="1418" spans="1:1">
      <c r="A1418" s="116"/>
    </row>
    <row r="1419" spans="1:1">
      <c r="A1419" s="116"/>
    </row>
    <row r="1420" spans="1:1">
      <c r="A1420" s="116"/>
    </row>
    <row r="1421" spans="1:1">
      <c r="A1421" s="116"/>
    </row>
    <row r="1422" spans="1:1">
      <c r="A1422" s="116"/>
    </row>
    <row r="1423" spans="1:1">
      <c r="A1423" s="116"/>
    </row>
    <row r="1424" spans="1:1">
      <c r="A1424" s="116"/>
    </row>
    <row r="1425" spans="1:1">
      <c r="A1425" s="116"/>
    </row>
    <row r="1426" spans="1:1">
      <c r="A1426" s="116"/>
    </row>
    <row r="1427" spans="1:1">
      <c r="A1427" s="116"/>
    </row>
    <row r="1428" spans="1:1">
      <c r="A1428" s="116"/>
    </row>
    <row r="1429" spans="1:1">
      <c r="A1429" s="116"/>
    </row>
    <row r="1430" spans="1:1">
      <c r="A1430" s="116"/>
    </row>
    <row r="1431" spans="1:1">
      <c r="A1431" s="116"/>
    </row>
    <row r="1432" spans="1:1">
      <c r="A1432" s="116"/>
    </row>
    <row r="1433" spans="1:1">
      <c r="A1433" s="116"/>
    </row>
    <row r="1434" spans="1:1">
      <c r="A1434" s="116"/>
    </row>
    <row r="1435" spans="1:1">
      <c r="A1435" s="116"/>
    </row>
    <row r="1436" spans="1:1">
      <c r="A1436" s="116"/>
    </row>
    <row r="1437" spans="1:1">
      <c r="A1437" s="116"/>
    </row>
    <row r="1438" spans="1:1">
      <c r="A1438" s="116"/>
    </row>
    <row r="1439" spans="1:1">
      <c r="A1439" s="116"/>
    </row>
    <row r="1440" spans="1:1">
      <c r="A1440" s="116"/>
    </row>
    <row r="1441" spans="1:1">
      <c r="A1441" s="116"/>
    </row>
    <row r="1442" spans="1:1">
      <c r="A1442" s="116"/>
    </row>
    <row r="1443" spans="1:1">
      <c r="A1443" s="116"/>
    </row>
    <row r="1444" spans="1:1">
      <c r="A1444" s="116"/>
    </row>
    <row r="1445" spans="1:1">
      <c r="A1445" s="116"/>
    </row>
    <row r="1446" spans="1:1">
      <c r="A1446" s="116"/>
    </row>
    <row r="1447" spans="1:1">
      <c r="A1447" s="116"/>
    </row>
    <row r="1448" spans="1:1">
      <c r="A1448" s="116"/>
    </row>
    <row r="1449" spans="1:1">
      <c r="A1449" s="116"/>
    </row>
    <row r="1450" spans="1:1">
      <c r="A1450" s="116"/>
    </row>
    <row r="1451" spans="1:1">
      <c r="A1451" s="116"/>
    </row>
    <row r="1452" spans="1:1">
      <c r="A1452" s="116"/>
    </row>
    <row r="1453" spans="1:1">
      <c r="A1453" s="116"/>
    </row>
    <row r="1454" spans="1:1">
      <c r="A1454" s="116"/>
    </row>
    <row r="1455" spans="1:1">
      <c r="A1455" s="116"/>
    </row>
    <row r="1456" spans="1:1">
      <c r="A1456" s="116"/>
    </row>
    <row r="1457" spans="1:1">
      <c r="A1457" s="116"/>
    </row>
    <row r="1458" spans="1:1">
      <c r="A1458" s="116"/>
    </row>
    <row r="1459" spans="1:1">
      <c r="A1459" s="116"/>
    </row>
    <row r="1460" spans="1:1">
      <c r="A1460" s="116"/>
    </row>
    <row r="1461" spans="1:1">
      <c r="A1461" s="116"/>
    </row>
    <row r="1462" spans="1:1">
      <c r="A1462" s="116"/>
    </row>
    <row r="1463" spans="1:1">
      <c r="A1463" s="116"/>
    </row>
    <row r="1464" spans="1:1">
      <c r="A1464" s="116"/>
    </row>
    <row r="1465" spans="1:1">
      <c r="A1465" s="116"/>
    </row>
    <row r="1466" spans="1:1">
      <c r="A1466" s="116"/>
    </row>
    <row r="1467" spans="1:1">
      <c r="A1467" s="116"/>
    </row>
    <row r="1468" spans="1:1">
      <c r="A1468" s="116"/>
    </row>
    <row r="1469" spans="1:1">
      <c r="A1469" s="116"/>
    </row>
    <row r="1470" spans="1:1">
      <c r="A1470" s="116"/>
    </row>
    <row r="1471" spans="1:1">
      <c r="A1471" s="116"/>
    </row>
    <row r="1472" spans="1:1">
      <c r="A1472" s="116"/>
    </row>
    <row r="1473" spans="1:1">
      <c r="A1473" s="116"/>
    </row>
    <row r="1474" spans="1:1">
      <c r="A1474" s="116"/>
    </row>
    <row r="1475" spans="1:1">
      <c r="A1475" s="116"/>
    </row>
    <row r="1476" spans="1:1">
      <c r="A1476" s="116"/>
    </row>
    <row r="1477" spans="1:1">
      <c r="A1477" s="116"/>
    </row>
    <row r="1478" spans="1:1">
      <c r="A1478" s="116"/>
    </row>
    <row r="1479" spans="1:1">
      <c r="A1479" s="116"/>
    </row>
  </sheetData>
  <mergeCells count="51">
    <mergeCell ref="A1003:M1003"/>
    <mergeCell ref="M811:M820"/>
    <mergeCell ref="M837:M846"/>
    <mergeCell ref="M857:M870"/>
    <mergeCell ref="A1000:B1000"/>
    <mergeCell ref="A1001:M1001"/>
    <mergeCell ref="A1002:M1002"/>
    <mergeCell ref="M771:M773"/>
    <mergeCell ref="M407:M409"/>
    <mergeCell ref="M564:M565"/>
    <mergeCell ref="M587:M588"/>
    <mergeCell ref="K617:K618"/>
    <mergeCell ref="M617:M618"/>
    <mergeCell ref="M644:M645"/>
    <mergeCell ref="M703:M709"/>
    <mergeCell ref="M718:M719"/>
    <mergeCell ref="M753:M754"/>
    <mergeCell ref="M760:M762"/>
    <mergeCell ref="M281:M282"/>
    <mergeCell ref="C14:C17"/>
    <mergeCell ref="D14:G17"/>
    <mergeCell ref="H14:L14"/>
    <mergeCell ref="M14:M17"/>
    <mergeCell ref="J15:J17"/>
    <mergeCell ref="K15:L15"/>
    <mergeCell ref="M154:M155"/>
    <mergeCell ref="F227:F228"/>
    <mergeCell ref="M227:M228"/>
    <mergeCell ref="K261:K262"/>
    <mergeCell ref="M261:M262"/>
    <mergeCell ref="A1:M1"/>
    <mergeCell ref="A2:M2"/>
    <mergeCell ref="A5:M5"/>
    <mergeCell ref="A7:M7"/>
    <mergeCell ref="A9:M9"/>
    <mergeCell ref="A11:M11"/>
    <mergeCell ref="A13:B13"/>
    <mergeCell ref="C13:M13"/>
    <mergeCell ref="I617:I618"/>
    <mergeCell ref="J617:J618"/>
    <mergeCell ref="J261:J262"/>
    <mergeCell ref="D342:D343"/>
    <mergeCell ref="E342:E343"/>
    <mergeCell ref="F342:F343"/>
    <mergeCell ref="K16:K17"/>
    <mergeCell ref="E227:E228"/>
    <mergeCell ref="L16:L17"/>
    <mergeCell ref="H15:H17"/>
    <mergeCell ref="I15:I17"/>
    <mergeCell ref="A14:A17"/>
    <mergeCell ref="B14:B17"/>
  </mergeCells>
  <pageMargins left="0.7" right="0.7" top="0.75" bottom="0.75" header="0.3" footer="0.3"/>
  <pageSetup paperSize="9" orientation="portrait" verticalDpi="0" r:id="rId1"/>
  <drawing r:id="rId2"/>
</worksheet>
</file>

<file path=xl/worksheets/sheet19.xml><?xml version="1.0" encoding="utf-8"?>
<worksheet xmlns="http://schemas.openxmlformats.org/spreadsheetml/2006/main" xmlns:r="http://schemas.openxmlformats.org/officeDocument/2006/relationships">
  <sheetPr>
    <tabColor rgb="FF00B0F0"/>
  </sheetPr>
  <dimension ref="A1:S1280"/>
  <sheetViews>
    <sheetView topLeftCell="A406" workbookViewId="0">
      <selection activeCell="N408" sqref="N408:N409"/>
    </sheetView>
  </sheetViews>
  <sheetFormatPr defaultColWidth="9" defaultRowHeight="15" customHeight="1"/>
  <cols>
    <col min="1" max="1" width="6.375" style="117" customWidth="1"/>
    <col min="2" max="2" width="0.25" style="116" hidden="1" customWidth="1"/>
    <col min="3" max="3" width="67.25" style="116" customWidth="1"/>
    <col min="4" max="4" width="5.75" style="116" hidden="1" customWidth="1"/>
    <col min="5" max="5" width="5.5" style="116" hidden="1" customWidth="1"/>
    <col min="6" max="6" width="9.75" style="116" hidden="1" customWidth="1"/>
    <col min="7" max="8" width="9.375" style="116" hidden="1" customWidth="1"/>
    <col min="9" max="9" width="8.125" style="116" hidden="1" customWidth="1"/>
    <col min="10" max="10" width="8.625" style="116" hidden="1" customWidth="1"/>
    <col min="11" max="11" width="11.625" style="116" hidden="1" customWidth="1"/>
    <col min="12" max="12" width="6.375" style="116" customWidth="1"/>
    <col min="13" max="13" width="10.5" style="116" customWidth="1"/>
    <col min="14" max="14" width="10.375" style="116" customWidth="1"/>
    <col min="15" max="15" width="10.875" style="116" customWidth="1"/>
    <col min="16" max="16" width="9.875" style="116" customWidth="1"/>
    <col min="17" max="17" width="27.5" style="116" customWidth="1"/>
    <col min="18" max="18" width="21.25" style="116" customWidth="1"/>
    <col min="19" max="19" width="11.75" style="116" customWidth="1"/>
    <col min="20" max="16384" width="9" style="116"/>
  </cols>
  <sheetData>
    <row r="1" spans="1:18" ht="15.75">
      <c r="A1" s="1161" t="s">
        <v>837</v>
      </c>
      <c r="B1" s="1161"/>
      <c r="C1" s="1161"/>
      <c r="D1" s="1161"/>
      <c r="E1" s="1161"/>
      <c r="F1" s="1161"/>
      <c r="G1" s="1161"/>
      <c r="H1" s="1161"/>
      <c r="I1" s="1161"/>
      <c r="J1" s="1161"/>
      <c r="K1" s="1161"/>
      <c r="L1" s="1161"/>
      <c r="M1" s="1161"/>
      <c r="N1" s="1161"/>
      <c r="O1" s="1161"/>
      <c r="P1" s="1161"/>
      <c r="Q1" s="1161"/>
    </row>
    <row r="2" spans="1:18" s="118" customFormat="1" ht="15.75">
      <c r="A2" s="1161" t="s">
        <v>838</v>
      </c>
      <c r="B2" s="1161"/>
      <c r="C2" s="1161"/>
      <c r="D2" s="1161"/>
      <c r="E2" s="1161"/>
      <c r="F2" s="1161"/>
      <c r="G2" s="1161"/>
      <c r="H2" s="1161"/>
      <c r="I2" s="1161"/>
      <c r="J2" s="1161"/>
      <c r="K2" s="1161"/>
      <c r="L2" s="1161"/>
      <c r="M2" s="1161"/>
      <c r="N2" s="1161"/>
      <c r="O2" s="1161"/>
      <c r="P2" s="1161"/>
      <c r="Q2" s="1161"/>
    </row>
    <row r="3" spans="1:18" s="118" customFormat="1" ht="15.75">
      <c r="A3" s="331"/>
      <c r="B3" s="331"/>
      <c r="C3" s="331"/>
      <c r="D3" s="332"/>
      <c r="E3" s="332"/>
      <c r="F3" s="332"/>
      <c r="G3" s="332"/>
      <c r="H3" s="332"/>
      <c r="I3" s="332"/>
      <c r="J3" s="332"/>
      <c r="K3" s="332"/>
      <c r="L3" s="332"/>
      <c r="M3" s="332"/>
      <c r="N3" s="332"/>
      <c r="O3" s="332"/>
      <c r="P3" s="332"/>
    </row>
    <row r="4" spans="1:18" s="118" customFormat="1" ht="15.75">
      <c r="A4" s="449"/>
      <c r="B4" s="449"/>
      <c r="C4" s="449"/>
      <c r="D4" s="332"/>
      <c r="E4" s="332"/>
      <c r="F4" s="332"/>
      <c r="G4" s="332"/>
      <c r="H4" s="332"/>
      <c r="I4" s="332"/>
      <c r="J4" s="332"/>
      <c r="K4" s="332"/>
      <c r="L4" s="332"/>
      <c r="M4" s="332"/>
      <c r="N4" s="332"/>
      <c r="O4" s="332"/>
      <c r="P4" s="332"/>
    </row>
    <row r="5" spans="1:18" ht="15.75">
      <c r="A5" s="1162" t="s">
        <v>839</v>
      </c>
      <c r="B5" s="1162"/>
      <c r="C5" s="1162"/>
      <c r="D5" s="1162"/>
      <c r="E5" s="1162"/>
      <c r="F5" s="1162"/>
      <c r="G5" s="1162"/>
      <c r="H5" s="1162"/>
      <c r="I5" s="1162"/>
      <c r="J5" s="1162"/>
      <c r="K5" s="1162"/>
      <c r="L5" s="1162"/>
      <c r="M5" s="1162"/>
      <c r="N5" s="1162"/>
      <c r="O5" s="1162"/>
      <c r="P5" s="1162"/>
      <c r="Q5" s="1162"/>
    </row>
    <row r="6" spans="1:18" ht="15.75">
      <c r="A6" s="448"/>
      <c r="B6" s="448"/>
      <c r="C6" s="448"/>
      <c r="D6" s="178"/>
      <c r="E6" s="178"/>
      <c r="F6" s="178"/>
      <c r="G6" s="178"/>
      <c r="H6" s="178"/>
      <c r="I6" s="178"/>
      <c r="J6" s="178"/>
      <c r="K6" s="178"/>
      <c r="L6" s="178"/>
      <c r="M6" s="178"/>
      <c r="N6" s="178"/>
      <c r="O6" s="178"/>
      <c r="P6" s="178"/>
    </row>
    <row r="7" spans="1:18" ht="15.75">
      <c r="A7" s="333" t="s">
        <v>1183</v>
      </c>
      <c r="B7" s="333"/>
      <c r="C7" s="333"/>
      <c r="D7" s="178"/>
      <c r="E7" s="178"/>
      <c r="F7" s="178"/>
      <c r="G7" s="178"/>
      <c r="H7" s="178"/>
      <c r="I7" s="178"/>
      <c r="J7" s="178"/>
      <c r="K7" s="178"/>
      <c r="L7" s="178"/>
      <c r="M7" s="178"/>
      <c r="N7" s="178"/>
      <c r="O7" s="178"/>
      <c r="P7" s="178"/>
    </row>
    <row r="8" spans="1:18" ht="34.5" customHeight="1">
      <c r="A8" s="1164" t="s">
        <v>1184</v>
      </c>
      <c r="B8" s="1164"/>
      <c r="C8" s="1164"/>
      <c r="D8" s="1164"/>
      <c r="E8" s="1164"/>
      <c r="F8" s="1164"/>
      <c r="G8" s="1164"/>
      <c r="H8" s="1164"/>
      <c r="I8" s="1164"/>
      <c r="J8" s="1164"/>
      <c r="K8" s="1164"/>
      <c r="L8" s="1164"/>
      <c r="M8" s="1164"/>
      <c r="N8" s="1164"/>
      <c r="O8" s="1164"/>
      <c r="P8" s="1164"/>
    </row>
    <row r="9" spans="1:18" ht="15.75">
      <c r="A9" s="637" t="s">
        <v>1182</v>
      </c>
      <c r="B9" s="637"/>
      <c r="C9" s="637"/>
      <c r="D9" s="637"/>
      <c r="E9" s="178"/>
      <c r="F9" s="178"/>
      <c r="G9" s="178"/>
      <c r="H9" s="178"/>
      <c r="I9" s="178"/>
      <c r="J9" s="178"/>
      <c r="K9" s="178"/>
      <c r="L9" s="178"/>
      <c r="M9" s="178"/>
      <c r="N9" s="178"/>
      <c r="O9" s="178"/>
      <c r="P9" s="178"/>
    </row>
    <row r="10" spans="1:18" ht="15.75">
      <c r="A10" s="1149" t="s">
        <v>24</v>
      </c>
      <c r="B10" s="1149"/>
      <c r="C10" s="1149"/>
      <c r="D10" s="1150" t="s">
        <v>130</v>
      </c>
      <c r="E10" s="1150"/>
      <c r="F10" s="1150"/>
      <c r="G10" s="1150"/>
      <c r="H10" s="1150"/>
      <c r="I10" s="1150"/>
      <c r="J10" s="1150"/>
      <c r="K10" s="1150"/>
      <c r="L10" s="1150"/>
      <c r="M10" s="1150"/>
      <c r="N10" s="1150"/>
      <c r="O10" s="1150"/>
      <c r="P10" s="1150"/>
      <c r="Q10" s="1150"/>
    </row>
    <row r="11" spans="1:18" s="158" customFormat="1" ht="15.75">
      <c r="A11" s="1141" t="s">
        <v>76</v>
      </c>
      <c r="B11" s="1141" t="s">
        <v>93</v>
      </c>
      <c r="C11" s="1160" t="s">
        <v>670</v>
      </c>
      <c r="D11" s="1167" t="s">
        <v>840</v>
      </c>
      <c r="E11" s="1160" t="s">
        <v>422</v>
      </c>
      <c r="F11" s="1204" t="s">
        <v>820</v>
      </c>
      <c r="G11" s="1205"/>
      <c r="H11" s="1205"/>
      <c r="I11" s="1205"/>
      <c r="J11" s="1206"/>
      <c r="K11" s="450"/>
      <c r="L11" s="1167" t="s">
        <v>841</v>
      </c>
      <c r="M11" s="1201" t="s">
        <v>823</v>
      </c>
      <c r="N11" s="1202"/>
      <c r="O11" s="1202"/>
      <c r="P11" s="1203"/>
      <c r="Q11" s="1160" t="s">
        <v>296</v>
      </c>
    </row>
    <row r="12" spans="1:18" s="158" customFormat="1" ht="15.75">
      <c r="A12" s="1141"/>
      <c r="B12" s="1141"/>
      <c r="C12" s="1160"/>
      <c r="D12" s="1168"/>
      <c r="E12" s="1160"/>
      <c r="F12" s="1167" t="s">
        <v>842</v>
      </c>
      <c r="G12" s="1204" t="s">
        <v>843</v>
      </c>
      <c r="H12" s="1205"/>
      <c r="I12" s="1206"/>
      <c r="J12" s="1167" t="s">
        <v>844</v>
      </c>
      <c r="K12" s="446"/>
      <c r="L12" s="1168"/>
      <c r="M12" s="1167" t="s">
        <v>422</v>
      </c>
      <c r="N12" s="1167" t="s">
        <v>1169</v>
      </c>
      <c r="O12" s="1204" t="s">
        <v>709</v>
      </c>
      <c r="P12" s="1206"/>
      <c r="Q12" s="1160"/>
    </row>
    <row r="13" spans="1:18" s="158" customFormat="1" ht="15.75">
      <c r="A13" s="1141"/>
      <c r="B13" s="1141"/>
      <c r="C13" s="1160"/>
      <c r="D13" s="1168"/>
      <c r="E13" s="1160"/>
      <c r="F13" s="1168"/>
      <c r="G13" s="1167" t="s">
        <v>420</v>
      </c>
      <c r="H13" s="1160" t="s">
        <v>709</v>
      </c>
      <c r="I13" s="1160"/>
      <c r="J13" s="1168"/>
      <c r="K13" s="446"/>
      <c r="L13" s="1168"/>
      <c r="M13" s="1168"/>
      <c r="N13" s="1168"/>
      <c r="O13" s="1168" t="s">
        <v>845</v>
      </c>
      <c r="P13" s="1168" t="s">
        <v>846</v>
      </c>
      <c r="Q13" s="1160"/>
    </row>
    <row r="14" spans="1:18" s="158" customFormat="1" ht="157.5">
      <c r="A14" s="1141"/>
      <c r="B14" s="1141"/>
      <c r="C14" s="1160"/>
      <c r="D14" s="1169"/>
      <c r="E14" s="1160"/>
      <c r="F14" s="1169"/>
      <c r="G14" s="1169"/>
      <c r="H14" s="446" t="s">
        <v>708</v>
      </c>
      <c r="I14" s="447" t="s">
        <v>706</v>
      </c>
      <c r="J14" s="1169"/>
      <c r="K14" s="447"/>
      <c r="L14" s="1169"/>
      <c r="M14" s="1169"/>
      <c r="N14" s="1169"/>
      <c r="O14" s="1169"/>
      <c r="P14" s="1169"/>
      <c r="Q14" s="1160"/>
    </row>
    <row r="15" spans="1:18" s="119" customFormat="1" ht="16.5">
      <c r="A15" s="297" t="s">
        <v>84</v>
      </c>
      <c r="B15" s="197" t="s">
        <v>84</v>
      </c>
      <c r="C15" s="334" t="s">
        <v>209</v>
      </c>
      <c r="D15" s="451"/>
      <c r="E15" s="451" t="e">
        <f>E16+E65+E92+E134+E170+E197+E216+E231+E248+E251+E265+E280+E289+E301+E314+E328+E371+E372+E373+E346+E352+E358+E374+E365</f>
        <v>#REF!</v>
      </c>
      <c r="F15" s="451">
        <f>F16+F65+F92+F134+F170+F197+F216+F231+F248+F251+F265+F279+F289+F301+F314+F328+F346+F352+F358+F365+F371+F372+F373+F374</f>
        <v>26249160.684</v>
      </c>
      <c r="G15" s="451">
        <f>G16+G65+G92+G134+G170+G197+G216+G231+G248+G251+G265+G279+G289+G301+G314+G328+G346+G352+G358+G365+G371+G372+G373+G374</f>
        <v>25524540.684</v>
      </c>
      <c r="H15" s="451">
        <f>H16+H65+H92+H134+H170+H197+H216+H231+H248+H251+H265+H280+H289+H301+H314+H328+H371+H372+H373+H346+H352+H358+H374+H365</f>
        <v>23359540.684</v>
      </c>
      <c r="I15" s="451">
        <f>I16+I65+I92+I134+I170+I197+I216+I231+I248+I251+I265+I280+I289+I301+I314+I328+I371+I372+I373+I346+I352+I358+I374+I365</f>
        <v>2165000</v>
      </c>
      <c r="J15" s="451">
        <f>J16+J65+J92+J134+J170+J197+J216+J231+J248+J251+J265+J280+J289+J301+J314+J328+J371+J372+J373+J346+J352+J358+J374+J365</f>
        <v>724620</v>
      </c>
      <c r="K15" s="451"/>
      <c r="L15" s="451"/>
      <c r="M15" s="451">
        <f>M16+M65+M92+M134+M170+M197+M216+M231+M248+M251+M265+M280+M289+M301+M314+M328+M371+M372+M373+M346+M352+M358+M374+M365</f>
        <v>29087561.139000002</v>
      </c>
      <c r="N15" s="451">
        <f>N16+N65+N92+N134+N170+N197+N216+N231+N248+N251+N265+N280+N289+N301+N314+N328+N371+N372+N373+N346+N352+N358+N374+N365</f>
        <v>27776391.139000002</v>
      </c>
      <c r="O15" s="451">
        <f>N15</f>
        <v>27776391.139000002</v>
      </c>
      <c r="P15" s="451"/>
      <c r="Q15" s="444"/>
      <c r="R15" s="119">
        <f>G15-H15-I15</f>
        <v>0</v>
      </c>
    </row>
    <row r="16" spans="1:18" s="119" customFormat="1" ht="16.5">
      <c r="A16" s="452">
        <v>1</v>
      </c>
      <c r="B16" s="453"/>
      <c r="C16" s="454" t="s">
        <v>307</v>
      </c>
      <c r="D16" s="455"/>
      <c r="E16" s="456">
        <f>E19+E23+E24</f>
        <v>7812172.4900000002</v>
      </c>
      <c r="F16" s="456">
        <f>F19+F23+F24</f>
        <v>7846584.4900000002</v>
      </c>
      <c r="G16" s="456">
        <f>H16+I16</f>
        <v>7652172.4900000002</v>
      </c>
      <c r="H16" s="456">
        <f>H19+H23+H24</f>
        <v>6802172.4900000002</v>
      </c>
      <c r="I16" s="456">
        <f>I19+I23+I24</f>
        <v>850000</v>
      </c>
      <c r="J16" s="456">
        <f>J19+J23+J24</f>
        <v>194412</v>
      </c>
      <c r="K16" s="456"/>
      <c r="L16" s="457"/>
      <c r="M16" s="456">
        <f>M19+M23+M24</f>
        <v>7854659.5629999992</v>
      </c>
      <c r="N16" s="456">
        <f>N19+N23+N24</f>
        <v>7788651.5629999992</v>
      </c>
      <c r="O16" s="458">
        <f t="shared" ref="O16:O71" si="0">N16</f>
        <v>7788651.5629999992</v>
      </c>
      <c r="P16" s="456"/>
      <c r="Q16" s="335"/>
    </row>
    <row r="17" spans="1:17" s="119" customFormat="1" ht="15.75" customHeight="1">
      <c r="A17" s="336"/>
      <c r="B17" s="218"/>
      <c r="C17" s="199" t="s">
        <v>783</v>
      </c>
      <c r="D17" s="459"/>
      <c r="E17" s="460"/>
      <c r="F17" s="460"/>
      <c r="G17" s="461">
        <f t="shared" ref="G17:G80" si="1">H17+I17</f>
        <v>0</v>
      </c>
      <c r="H17" s="460"/>
      <c r="I17" s="460"/>
      <c r="J17" s="460"/>
      <c r="K17" s="460"/>
      <c r="L17" s="462"/>
      <c r="M17" s="460"/>
      <c r="N17" s="460"/>
      <c r="O17" s="466">
        <f t="shared" si="0"/>
        <v>0</v>
      </c>
      <c r="P17" s="460"/>
      <c r="Q17" s="337"/>
    </row>
    <row r="18" spans="1:17" s="119" customFormat="1" ht="16.5" hidden="1">
      <c r="A18" s="336"/>
      <c r="B18" s="218"/>
      <c r="C18" s="199" t="s">
        <v>173</v>
      </c>
      <c r="D18" s="459"/>
      <c r="E18" s="460"/>
      <c r="F18" s="460"/>
      <c r="G18" s="461">
        <f t="shared" si="1"/>
        <v>0</v>
      </c>
      <c r="H18" s="460"/>
      <c r="I18" s="460"/>
      <c r="J18" s="460"/>
      <c r="K18" s="460"/>
      <c r="L18" s="462"/>
      <c r="M18" s="460"/>
      <c r="N18" s="460"/>
      <c r="O18" s="553">
        <f t="shared" si="0"/>
        <v>0</v>
      </c>
      <c r="P18" s="463"/>
      <c r="Q18" s="337"/>
    </row>
    <row r="19" spans="1:17" s="119" customFormat="1" ht="16.5">
      <c r="A19" s="338"/>
      <c r="B19" s="218"/>
      <c r="C19" s="199" t="s">
        <v>377</v>
      </c>
      <c r="D19" s="459"/>
      <c r="E19" s="464">
        <f>(E20+E21+E22)</f>
        <v>3294450.9000000004</v>
      </c>
      <c r="F19" s="464">
        <f>G19+J19</f>
        <v>3484742.9000000004</v>
      </c>
      <c r="G19" s="464">
        <f t="shared" si="1"/>
        <v>3294450.9000000004</v>
      </c>
      <c r="H19" s="464">
        <f>(H20+H21+H22)</f>
        <v>3294450.9000000004</v>
      </c>
      <c r="I19" s="464"/>
      <c r="J19" s="464">
        <f>(J20+J21+J22)</f>
        <v>190292</v>
      </c>
      <c r="K19" s="464"/>
      <c r="L19" s="465"/>
      <c r="M19" s="464">
        <f>(M20+M21+M22)</f>
        <v>3606596.0954999998</v>
      </c>
      <c r="N19" s="464">
        <f>(N20+N21+N22)</f>
        <v>3606596.0954999998</v>
      </c>
      <c r="O19" s="466">
        <f t="shared" si="0"/>
        <v>3606596.0954999998</v>
      </c>
      <c r="P19" s="464"/>
      <c r="Q19" s="337"/>
    </row>
    <row r="20" spans="1:17" s="119" customFormat="1" ht="16.5">
      <c r="A20" s="159"/>
      <c r="B20" s="160"/>
      <c r="C20" s="170" t="s">
        <v>847</v>
      </c>
      <c r="D20" s="467">
        <f>105.95+2.7+6.8+0.349+1.611+5.4+0.3+1.5+2.5</f>
        <v>127.11000000000001</v>
      </c>
      <c r="E20" s="468">
        <f>D20*1300*12</f>
        <v>1982916.0000000005</v>
      </c>
      <c r="F20" s="461">
        <f t="shared" ref="F20:F76" si="2">G20+J20</f>
        <v>2173208.0000000005</v>
      </c>
      <c r="G20" s="461">
        <f t="shared" si="1"/>
        <v>1982916.0000000005</v>
      </c>
      <c r="H20" s="468">
        <f>E20</f>
        <v>1982916.0000000005</v>
      </c>
      <c r="I20" s="468"/>
      <c r="J20" s="468">
        <f>116870+73422</f>
        <v>190292</v>
      </c>
      <c r="K20" s="468"/>
      <c r="L20" s="469">
        <f>106.78+2.7+6.8+0.3984+1.7691+5.2+1.25+0.5+0.7+2.1+0.1+0.2</f>
        <v>128.49749999999997</v>
      </c>
      <c r="M20" s="468">
        <f>L20*1390*12</f>
        <v>2143338.2999999998</v>
      </c>
      <c r="N20" s="468">
        <f>M20</f>
        <v>2143338.2999999998</v>
      </c>
      <c r="O20" s="470">
        <f t="shared" si="0"/>
        <v>2143338.2999999998</v>
      </c>
      <c r="P20" s="468"/>
      <c r="Q20" s="337"/>
    </row>
    <row r="21" spans="1:17" s="119" customFormat="1" ht="16.5">
      <c r="A21" s="159"/>
      <c r="B21" s="315"/>
      <c r="C21" s="170" t="s">
        <v>174</v>
      </c>
      <c r="D21" s="467">
        <f>31.098+27.165</f>
        <v>58.262999999999998</v>
      </c>
      <c r="E21" s="468">
        <f>D21*1300*12</f>
        <v>908902.79999999993</v>
      </c>
      <c r="F21" s="461">
        <f t="shared" si="2"/>
        <v>908902.79999999993</v>
      </c>
      <c r="G21" s="461">
        <f t="shared" si="1"/>
        <v>908902.79999999993</v>
      </c>
      <c r="H21" s="468">
        <f>E21</f>
        <v>908902.79999999993</v>
      </c>
      <c r="I21" s="468"/>
      <c r="J21" s="468"/>
      <c r="K21" s="468"/>
      <c r="L21" s="469">
        <f>32.694+28.4946</f>
        <v>61.188600000000001</v>
      </c>
      <c r="M21" s="468">
        <f t="shared" ref="M21:M22" si="3">L21*1390*12</f>
        <v>1020625.848</v>
      </c>
      <c r="N21" s="468">
        <f t="shared" ref="N21:N22" si="4">M21</f>
        <v>1020625.848</v>
      </c>
      <c r="O21" s="470">
        <f t="shared" si="0"/>
        <v>1020625.848</v>
      </c>
      <c r="P21" s="468"/>
      <c r="Q21" s="337"/>
    </row>
    <row r="22" spans="1:17" s="119" customFormat="1" ht="16.5">
      <c r="A22" s="159"/>
      <c r="B22" s="162"/>
      <c r="C22" s="170" t="s">
        <v>175</v>
      </c>
      <c r="D22" s="467">
        <f>(105.95+6.8+0.349+1.611)*22.5%</f>
        <v>25.809750000000001</v>
      </c>
      <c r="E22" s="468">
        <f>D22*1300*12</f>
        <v>402632.10000000003</v>
      </c>
      <c r="F22" s="461">
        <f t="shared" si="2"/>
        <v>402632.10000000003</v>
      </c>
      <c r="G22" s="461">
        <f t="shared" si="1"/>
        <v>402632.10000000003</v>
      </c>
      <c r="H22" s="468">
        <f>E22</f>
        <v>402632.10000000003</v>
      </c>
      <c r="I22" s="468"/>
      <c r="J22" s="468"/>
      <c r="K22" s="468"/>
      <c r="L22" s="469">
        <f>(106.78+6.8+0.3984+1.7691+2.1)*22.5%+2.1*1%</f>
        <v>26.536687499999996</v>
      </c>
      <c r="M22" s="468">
        <f t="shared" si="3"/>
        <v>442631.94749999995</v>
      </c>
      <c r="N22" s="468">
        <f t="shared" si="4"/>
        <v>442631.94749999995</v>
      </c>
      <c r="O22" s="470">
        <f t="shared" si="0"/>
        <v>442631.94749999995</v>
      </c>
      <c r="P22" s="468"/>
      <c r="Q22" s="337"/>
    </row>
    <row r="23" spans="1:17" s="119" customFormat="1" ht="16.5">
      <c r="A23" s="159"/>
      <c r="B23" s="161">
        <v>153</v>
      </c>
      <c r="C23" s="169" t="s">
        <v>732</v>
      </c>
      <c r="D23" s="459"/>
      <c r="E23" s="460">
        <f>(D20+D22)*1210*12*25/75</f>
        <v>740131.5900000002</v>
      </c>
      <c r="F23" s="464">
        <f t="shared" si="2"/>
        <v>740131.5900000002</v>
      </c>
      <c r="G23" s="464">
        <f t="shared" si="1"/>
        <v>740131.5900000002</v>
      </c>
      <c r="H23" s="460">
        <f>E23</f>
        <v>740131.5900000002</v>
      </c>
      <c r="I23" s="460"/>
      <c r="J23" s="460"/>
      <c r="K23" s="460"/>
      <c r="L23" s="459"/>
      <c r="M23" s="460">
        <f>(L20+L22)*25/75*1210*12</f>
        <v>750365.4674999998</v>
      </c>
      <c r="N23" s="460">
        <f>M23</f>
        <v>750365.4674999998</v>
      </c>
      <c r="O23" s="466">
        <f t="shared" si="0"/>
        <v>750365.4674999998</v>
      </c>
      <c r="P23" s="460"/>
      <c r="Q23" s="337"/>
    </row>
    <row r="24" spans="1:17" s="119" customFormat="1" ht="16.5">
      <c r="A24" s="163"/>
      <c r="B24" s="164">
        <f>(100+6.25+1.97)*55%</f>
        <v>59.521000000000001</v>
      </c>
      <c r="C24" s="169" t="s">
        <v>380</v>
      </c>
      <c r="D24" s="471"/>
      <c r="E24" s="472">
        <f>SUM(E25:E61)</f>
        <v>3777590</v>
      </c>
      <c r="F24" s="464">
        <f t="shared" si="2"/>
        <v>3621710</v>
      </c>
      <c r="G24" s="472">
        <f>SUM(G25:G61)</f>
        <v>3617590</v>
      </c>
      <c r="H24" s="472">
        <f>SUM(H25:H61)</f>
        <v>2767590</v>
      </c>
      <c r="I24" s="472">
        <f>SUM(I25:I63)</f>
        <v>850000</v>
      </c>
      <c r="J24" s="472">
        <f>SUM(J25:J63)</f>
        <v>4120</v>
      </c>
      <c r="K24" s="472"/>
      <c r="L24" s="471"/>
      <c r="M24" s="472">
        <f>SUM(M25:M64)</f>
        <v>3497698</v>
      </c>
      <c r="N24" s="472">
        <f>SUM(N25:N64)</f>
        <v>3431690</v>
      </c>
      <c r="O24" s="466">
        <f t="shared" si="0"/>
        <v>3431690</v>
      </c>
      <c r="P24" s="472"/>
      <c r="Q24" s="337"/>
    </row>
    <row r="25" spans="1:17" s="119" customFormat="1" ht="30">
      <c r="A25" s="163"/>
      <c r="B25" s="164"/>
      <c r="C25" s="170" t="s">
        <v>423</v>
      </c>
      <c r="D25" s="459"/>
      <c r="E25" s="468">
        <f>2*10000+4*7000+6*5000+4*4500+11*4000+1000</f>
        <v>141000</v>
      </c>
      <c r="F25" s="461">
        <f t="shared" si="2"/>
        <v>141000</v>
      </c>
      <c r="G25" s="461">
        <f t="shared" si="1"/>
        <v>141000</v>
      </c>
      <c r="H25" s="468">
        <v>141000</v>
      </c>
      <c r="I25" s="468"/>
      <c r="J25" s="468"/>
      <c r="K25" s="468"/>
      <c r="L25" s="473"/>
      <c r="M25" s="468">
        <v>171000</v>
      </c>
      <c r="N25" s="468">
        <v>141000</v>
      </c>
      <c r="O25" s="470">
        <f t="shared" si="0"/>
        <v>141000</v>
      </c>
      <c r="P25" s="468"/>
      <c r="Q25" s="337"/>
    </row>
    <row r="26" spans="1:17" s="119" customFormat="1" ht="30">
      <c r="A26" s="163"/>
      <c r="B26" s="164"/>
      <c r="C26" s="170" t="s">
        <v>325</v>
      </c>
      <c r="D26" s="459"/>
      <c r="E26" s="468">
        <f>27*300*5</f>
        <v>40500</v>
      </c>
      <c r="F26" s="461">
        <f t="shared" si="2"/>
        <v>40500</v>
      </c>
      <c r="G26" s="461">
        <f t="shared" si="1"/>
        <v>40500</v>
      </c>
      <c r="H26" s="468">
        <v>40500</v>
      </c>
      <c r="I26" s="468"/>
      <c r="J26" s="468"/>
      <c r="K26" s="468"/>
      <c r="L26" s="473"/>
      <c r="M26" s="468">
        <v>40500</v>
      </c>
      <c r="N26" s="468">
        <v>40500</v>
      </c>
      <c r="O26" s="470">
        <f t="shared" si="0"/>
        <v>40500</v>
      </c>
      <c r="P26" s="468"/>
      <c r="Q26" s="337"/>
    </row>
    <row r="27" spans="1:17" s="119" customFormat="1" ht="30">
      <c r="A27" s="163"/>
      <c r="B27" s="164"/>
      <c r="C27" s="170" t="s">
        <v>429</v>
      </c>
      <c r="D27" s="459"/>
      <c r="E27" s="468">
        <v>46000</v>
      </c>
      <c r="F27" s="461">
        <f t="shared" si="2"/>
        <v>46000</v>
      </c>
      <c r="G27" s="461">
        <f t="shared" si="1"/>
        <v>46000</v>
      </c>
      <c r="H27" s="468">
        <v>46000</v>
      </c>
      <c r="I27" s="468"/>
      <c r="J27" s="468"/>
      <c r="K27" s="468"/>
      <c r="L27" s="473"/>
      <c r="M27" s="468">
        <v>46000</v>
      </c>
      <c r="N27" s="468">
        <v>46000</v>
      </c>
      <c r="O27" s="470">
        <f t="shared" si="0"/>
        <v>46000</v>
      </c>
      <c r="P27" s="468"/>
      <c r="Q27" s="337"/>
    </row>
    <row r="28" spans="1:17" s="119" customFormat="1" ht="16.5">
      <c r="A28" s="163"/>
      <c r="B28" s="164"/>
      <c r="C28" s="170" t="s">
        <v>326</v>
      </c>
      <c r="D28" s="459"/>
      <c r="E28" s="468">
        <v>54000</v>
      </c>
      <c r="F28" s="461">
        <f t="shared" si="2"/>
        <v>54000</v>
      </c>
      <c r="G28" s="461">
        <f>H28+I28</f>
        <v>54000</v>
      </c>
      <c r="H28" s="468">
        <v>54000</v>
      </c>
      <c r="I28" s="468"/>
      <c r="J28" s="468"/>
      <c r="K28" s="468"/>
      <c r="L28" s="473"/>
      <c r="M28" s="468">
        <v>54000</v>
      </c>
      <c r="N28" s="468">
        <v>54000</v>
      </c>
      <c r="O28" s="470">
        <f t="shared" si="0"/>
        <v>54000</v>
      </c>
      <c r="P28" s="468"/>
      <c r="Q28" s="337"/>
    </row>
    <row r="29" spans="1:17" s="119" customFormat="1" ht="16.5">
      <c r="A29" s="163"/>
      <c r="B29" s="164">
        <f>(100+6.25+1.97+1.07)*22%</f>
        <v>24.043799999999997</v>
      </c>
      <c r="C29" s="170" t="s">
        <v>848</v>
      </c>
      <c r="D29" s="459"/>
      <c r="E29" s="468">
        <f>2*2000*12</f>
        <v>48000</v>
      </c>
      <c r="F29" s="461">
        <f t="shared" si="2"/>
        <v>48000</v>
      </c>
      <c r="G29" s="461">
        <f t="shared" si="1"/>
        <v>48000</v>
      </c>
      <c r="H29" s="468">
        <v>48000</v>
      </c>
      <c r="I29" s="468"/>
      <c r="J29" s="468"/>
      <c r="K29" s="468"/>
      <c r="L29" s="473"/>
      <c r="M29" s="468">
        <f>6000*12</f>
        <v>72000</v>
      </c>
      <c r="N29" s="468">
        <f>M29</f>
        <v>72000</v>
      </c>
      <c r="O29" s="470">
        <f>N29</f>
        <v>72000</v>
      </c>
      <c r="P29" s="468"/>
      <c r="Q29" s="337"/>
    </row>
    <row r="30" spans="1:17" s="119" customFormat="1" ht="16.5">
      <c r="A30" s="163"/>
      <c r="B30" s="164"/>
      <c r="C30" s="170" t="s">
        <v>818</v>
      </c>
      <c r="D30" s="459"/>
      <c r="E30" s="468">
        <v>12000</v>
      </c>
      <c r="F30" s="461">
        <f t="shared" si="2"/>
        <v>12000</v>
      </c>
      <c r="G30" s="461">
        <f t="shared" si="1"/>
        <v>12000</v>
      </c>
      <c r="H30" s="468">
        <v>12000</v>
      </c>
      <c r="I30" s="468"/>
      <c r="J30" s="468"/>
      <c r="K30" s="468"/>
      <c r="L30" s="473"/>
      <c r="M30" s="468">
        <v>12000</v>
      </c>
      <c r="N30" s="468">
        <v>12000</v>
      </c>
      <c r="O30" s="470">
        <f t="shared" si="0"/>
        <v>12000</v>
      </c>
      <c r="P30" s="468"/>
      <c r="Q30" s="337"/>
    </row>
    <row r="31" spans="1:17" s="119" customFormat="1" ht="31.5" customHeight="1">
      <c r="A31" s="163"/>
      <c r="B31" s="315"/>
      <c r="C31" s="170" t="s">
        <v>764</v>
      </c>
      <c r="D31" s="473"/>
      <c r="E31" s="468">
        <v>18040</v>
      </c>
      <c r="F31" s="461">
        <f t="shared" si="2"/>
        <v>18040</v>
      </c>
      <c r="G31" s="461">
        <f t="shared" si="1"/>
        <v>18040</v>
      </c>
      <c r="H31" s="468">
        <v>18040</v>
      </c>
      <c r="I31" s="468"/>
      <c r="J31" s="468"/>
      <c r="K31" s="468"/>
      <c r="L31" s="473"/>
      <c r="M31" s="468">
        <v>18040</v>
      </c>
      <c r="N31" s="468">
        <v>18040</v>
      </c>
      <c r="O31" s="470">
        <f t="shared" si="0"/>
        <v>18040</v>
      </c>
      <c r="P31" s="468"/>
      <c r="Q31" s="337"/>
    </row>
    <row r="32" spans="1:17" s="119" customFormat="1" ht="16.5">
      <c r="A32" s="163"/>
      <c r="B32" s="315"/>
      <c r="C32" s="170" t="s">
        <v>468</v>
      </c>
      <c r="D32" s="459"/>
      <c r="E32" s="468">
        <v>17250</v>
      </c>
      <c r="F32" s="461">
        <f t="shared" si="2"/>
        <v>17250</v>
      </c>
      <c r="G32" s="461">
        <f t="shared" si="1"/>
        <v>17250</v>
      </c>
      <c r="H32" s="468">
        <v>17250</v>
      </c>
      <c r="I32" s="468"/>
      <c r="J32" s="468"/>
      <c r="K32" s="468"/>
      <c r="L32" s="473"/>
      <c r="M32" s="468">
        <v>20850</v>
      </c>
      <c r="N32" s="468">
        <v>20850</v>
      </c>
      <c r="O32" s="470">
        <f t="shared" si="0"/>
        <v>20850</v>
      </c>
      <c r="P32" s="468"/>
      <c r="Q32" s="337"/>
    </row>
    <row r="33" spans="1:17" s="119" customFormat="1" ht="16.5">
      <c r="A33" s="163"/>
      <c r="B33" s="162"/>
      <c r="C33" s="170" t="s">
        <v>128</v>
      </c>
      <c r="D33" s="459"/>
      <c r="E33" s="468">
        <v>120000</v>
      </c>
      <c r="F33" s="461">
        <f t="shared" si="2"/>
        <v>120000</v>
      </c>
      <c r="G33" s="461">
        <f t="shared" si="1"/>
        <v>120000</v>
      </c>
      <c r="H33" s="468">
        <v>120000</v>
      </c>
      <c r="I33" s="468"/>
      <c r="J33" s="468"/>
      <c r="K33" s="468"/>
      <c r="L33" s="473"/>
      <c r="M33" s="468">
        <v>120000</v>
      </c>
      <c r="N33" s="468">
        <v>120000</v>
      </c>
      <c r="O33" s="470">
        <f t="shared" si="0"/>
        <v>120000</v>
      </c>
      <c r="P33" s="468"/>
      <c r="Q33" s="445"/>
    </row>
    <row r="34" spans="1:17" s="119" customFormat="1" ht="16.5">
      <c r="A34" s="163"/>
      <c r="B34" s="161"/>
      <c r="C34" s="170" t="s">
        <v>129</v>
      </c>
      <c r="D34" s="459"/>
      <c r="E34" s="468">
        <v>300000</v>
      </c>
      <c r="F34" s="461">
        <f t="shared" si="2"/>
        <v>200000</v>
      </c>
      <c r="G34" s="461">
        <f>H34+I34</f>
        <v>200000</v>
      </c>
      <c r="H34" s="468">
        <v>200000</v>
      </c>
      <c r="I34" s="468"/>
      <c r="J34" s="468"/>
      <c r="K34" s="468"/>
      <c r="L34" s="473"/>
      <c r="M34" s="468">
        <v>226000</v>
      </c>
      <c r="N34" s="468">
        <v>200000</v>
      </c>
      <c r="O34" s="470">
        <f t="shared" si="0"/>
        <v>200000</v>
      </c>
      <c r="P34" s="468"/>
      <c r="Q34" s="337"/>
    </row>
    <row r="35" spans="1:17" s="119" customFormat="1" ht="16.5">
      <c r="A35" s="163"/>
      <c r="B35" s="161"/>
      <c r="C35" s="170" t="s">
        <v>849</v>
      </c>
      <c r="D35" s="459"/>
      <c r="E35" s="468">
        <f>35*1300*0.4*12</f>
        <v>218400</v>
      </c>
      <c r="F35" s="461">
        <f t="shared" si="2"/>
        <v>219500</v>
      </c>
      <c r="G35" s="461">
        <f t="shared" si="1"/>
        <v>218400</v>
      </c>
      <c r="H35" s="468">
        <v>218400</v>
      </c>
      <c r="I35" s="468"/>
      <c r="J35" s="468">
        <f>7340-6240</f>
        <v>1100</v>
      </c>
      <c r="K35" s="468"/>
      <c r="L35" s="473"/>
      <c r="M35" s="474">
        <f>35*1390*0.4*12</f>
        <v>233520</v>
      </c>
      <c r="N35" s="468">
        <f>34*1390*0.4*12</f>
        <v>226848</v>
      </c>
      <c r="O35" s="470">
        <f t="shared" si="0"/>
        <v>226848</v>
      </c>
      <c r="P35" s="468"/>
      <c r="Q35" s="337"/>
    </row>
    <row r="36" spans="1:17" s="119" customFormat="1" ht="16.5">
      <c r="A36" s="163"/>
      <c r="B36" s="161"/>
      <c r="C36" s="170" t="s">
        <v>327</v>
      </c>
      <c r="D36" s="459"/>
      <c r="E36" s="468">
        <v>500000</v>
      </c>
      <c r="F36" s="461">
        <f t="shared" si="2"/>
        <v>500000</v>
      </c>
      <c r="G36" s="461">
        <f t="shared" si="1"/>
        <v>500000</v>
      </c>
      <c r="H36" s="468">
        <v>200000</v>
      </c>
      <c r="I36" s="468">
        <v>300000</v>
      </c>
      <c r="J36" s="468"/>
      <c r="K36" s="468"/>
      <c r="L36" s="473"/>
      <c r="M36" s="468">
        <v>200000</v>
      </c>
      <c r="N36" s="468">
        <v>200000</v>
      </c>
      <c r="O36" s="470">
        <f t="shared" si="0"/>
        <v>200000</v>
      </c>
      <c r="P36" s="468"/>
      <c r="Q36" s="337"/>
    </row>
    <row r="37" spans="1:17" s="119" customFormat="1" ht="16.5">
      <c r="A37" s="163"/>
      <c r="B37" s="161"/>
      <c r="C37" s="170" t="s">
        <v>138</v>
      </c>
      <c r="D37" s="459"/>
      <c r="E37" s="468">
        <v>200000</v>
      </c>
      <c r="F37" s="461">
        <f t="shared" si="2"/>
        <v>200000</v>
      </c>
      <c r="G37" s="461">
        <f t="shared" si="1"/>
        <v>200000</v>
      </c>
      <c r="H37" s="468">
        <v>200000</v>
      </c>
      <c r="I37" s="468"/>
      <c r="J37" s="468"/>
      <c r="K37" s="468"/>
      <c r="L37" s="473"/>
      <c r="M37" s="468">
        <v>200000</v>
      </c>
      <c r="N37" s="468">
        <v>200000</v>
      </c>
      <c r="O37" s="470">
        <f t="shared" si="0"/>
        <v>200000</v>
      </c>
      <c r="P37" s="468"/>
      <c r="Q37" s="337"/>
    </row>
    <row r="38" spans="1:17" s="119" customFormat="1" ht="16.5">
      <c r="A38" s="163"/>
      <c r="B38" s="161"/>
      <c r="C38" s="170" t="s">
        <v>804</v>
      </c>
      <c r="D38" s="459"/>
      <c r="E38" s="468">
        <v>40000</v>
      </c>
      <c r="F38" s="461">
        <f t="shared" si="2"/>
        <v>40000</v>
      </c>
      <c r="G38" s="461">
        <f t="shared" si="1"/>
        <v>40000</v>
      </c>
      <c r="H38" s="468">
        <v>40000</v>
      </c>
      <c r="I38" s="468"/>
      <c r="J38" s="468"/>
      <c r="K38" s="468"/>
      <c r="L38" s="473"/>
      <c r="M38" s="468">
        <v>40000</v>
      </c>
      <c r="N38" s="468">
        <v>40000</v>
      </c>
      <c r="O38" s="470">
        <f t="shared" si="0"/>
        <v>40000</v>
      </c>
      <c r="P38" s="468"/>
      <c r="Q38" s="337"/>
    </row>
    <row r="39" spans="1:17" s="119" customFormat="1" ht="30">
      <c r="A39" s="163"/>
      <c r="B39" s="161"/>
      <c r="C39" s="170" t="s">
        <v>284</v>
      </c>
      <c r="D39" s="459"/>
      <c r="E39" s="468">
        <v>30000</v>
      </c>
      <c r="F39" s="461">
        <f t="shared" si="2"/>
        <v>30000</v>
      </c>
      <c r="G39" s="461">
        <f>H39+I39</f>
        <v>30000</v>
      </c>
      <c r="H39" s="468">
        <v>30000</v>
      </c>
      <c r="I39" s="468"/>
      <c r="J39" s="468"/>
      <c r="K39" s="468"/>
      <c r="L39" s="473"/>
      <c r="M39" s="468">
        <v>30000</v>
      </c>
      <c r="N39" s="468">
        <v>30000</v>
      </c>
      <c r="O39" s="470">
        <f t="shared" si="0"/>
        <v>30000</v>
      </c>
      <c r="P39" s="468"/>
      <c r="Q39" s="337"/>
    </row>
    <row r="40" spans="1:17" s="119" customFormat="1" ht="16.5">
      <c r="A40" s="163"/>
      <c r="B40" s="161"/>
      <c r="C40" s="170" t="s">
        <v>292</v>
      </c>
      <c r="D40" s="459"/>
      <c r="E40" s="468">
        <v>120000</v>
      </c>
      <c r="F40" s="461">
        <f t="shared" si="2"/>
        <v>120000</v>
      </c>
      <c r="G40" s="461">
        <f t="shared" si="1"/>
        <v>120000</v>
      </c>
      <c r="H40" s="468">
        <v>120000</v>
      </c>
      <c r="I40" s="468"/>
      <c r="J40" s="468"/>
      <c r="K40" s="468"/>
      <c r="L40" s="473"/>
      <c r="M40" s="468">
        <v>120000</v>
      </c>
      <c r="N40" s="468">
        <v>120000</v>
      </c>
      <c r="O40" s="470">
        <f t="shared" si="0"/>
        <v>120000</v>
      </c>
      <c r="P40" s="468"/>
      <c r="Q40" s="337"/>
    </row>
    <row r="41" spans="1:17" s="119" customFormat="1" ht="16.5">
      <c r="A41" s="163"/>
      <c r="B41" s="161"/>
      <c r="C41" s="170" t="s">
        <v>178</v>
      </c>
      <c r="D41" s="459"/>
      <c r="E41" s="468">
        <v>30000</v>
      </c>
      <c r="F41" s="461">
        <f t="shared" si="2"/>
        <v>30000</v>
      </c>
      <c r="G41" s="461">
        <f t="shared" si="1"/>
        <v>30000</v>
      </c>
      <c r="H41" s="468">
        <v>30000</v>
      </c>
      <c r="I41" s="468"/>
      <c r="J41" s="468"/>
      <c r="K41" s="468"/>
      <c r="L41" s="473"/>
      <c r="M41" s="468">
        <v>30000</v>
      </c>
      <c r="N41" s="468">
        <v>30000</v>
      </c>
      <c r="O41" s="470">
        <f t="shared" si="0"/>
        <v>30000</v>
      </c>
      <c r="P41" s="468"/>
      <c r="Q41" s="337"/>
    </row>
    <row r="42" spans="1:17" s="119" customFormat="1" ht="16.5">
      <c r="A42" s="163"/>
      <c r="B42" s="161"/>
      <c r="C42" s="170" t="s">
        <v>735</v>
      </c>
      <c r="D42" s="459"/>
      <c r="E42" s="468">
        <v>50000</v>
      </c>
      <c r="F42" s="461">
        <f t="shared" si="2"/>
        <v>50000</v>
      </c>
      <c r="G42" s="461">
        <f t="shared" si="1"/>
        <v>50000</v>
      </c>
      <c r="H42" s="468">
        <v>50000</v>
      </c>
      <c r="I42" s="468"/>
      <c r="J42" s="468"/>
      <c r="K42" s="468"/>
      <c r="L42" s="473"/>
      <c r="M42" s="468">
        <v>50000</v>
      </c>
      <c r="N42" s="468">
        <v>50000</v>
      </c>
      <c r="O42" s="470">
        <f t="shared" si="0"/>
        <v>50000</v>
      </c>
      <c r="P42" s="468"/>
      <c r="Q42" s="337"/>
    </row>
    <row r="43" spans="1:17" s="119" customFormat="1" ht="16.5">
      <c r="A43" s="163"/>
      <c r="B43" s="161"/>
      <c r="C43" s="170" t="s">
        <v>293</v>
      </c>
      <c r="D43" s="459"/>
      <c r="E43" s="468">
        <v>30000</v>
      </c>
      <c r="F43" s="461">
        <f t="shared" si="2"/>
        <v>30000</v>
      </c>
      <c r="G43" s="461">
        <f t="shared" si="1"/>
        <v>30000</v>
      </c>
      <c r="H43" s="468">
        <v>30000</v>
      </c>
      <c r="I43" s="468"/>
      <c r="J43" s="468"/>
      <c r="K43" s="468"/>
      <c r="L43" s="473"/>
      <c r="M43" s="468">
        <v>30000</v>
      </c>
      <c r="N43" s="468">
        <v>30000</v>
      </c>
      <c r="O43" s="470">
        <f t="shared" si="0"/>
        <v>30000</v>
      </c>
      <c r="P43" s="468"/>
      <c r="Q43" s="337"/>
    </row>
    <row r="44" spans="1:17" s="119" customFormat="1" ht="16.5">
      <c r="A44" s="163"/>
      <c r="B44" s="161"/>
      <c r="C44" s="170" t="s">
        <v>1168</v>
      </c>
      <c r="D44" s="459"/>
      <c r="E44" s="468">
        <v>200000</v>
      </c>
      <c r="F44" s="461">
        <f t="shared" si="2"/>
        <v>200000</v>
      </c>
      <c r="G44" s="461">
        <f t="shared" si="1"/>
        <v>200000</v>
      </c>
      <c r="H44" s="468">
        <v>100000</v>
      </c>
      <c r="I44" s="468">
        <v>100000</v>
      </c>
      <c r="J44" s="468"/>
      <c r="K44" s="468"/>
      <c r="L44" s="473"/>
      <c r="M44" s="468">
        <v>200000</v>
      </c>
      <c r="N44" s="468">
        <v>200000</v>
      </c>
      <c r="O44" s="470">
        <f t="shared" si="0"/>
        <v>200000</v>
      </c>
      <c r="P44" s="468"/>
      <c r="Q44" s="337"/>
    </row>
    <row r="45" spans="1:17" s="119" customFormat="1" ht="16.5">
      <c r="A45" s="163"/>
      <c r="B45" s="161"/>
      <c r="C45" s="170" t="s">
        <v>1230</v>
      </c>
      <c r="D45" s="459"/>
      <c r="E45" s="468"/>
      <c r="F45" s="461"/>
      <c r="G45" s="461"/>
      <c r="H45" s="468"/>
      <c r="I45" s="468"/>
      <c r="J45" s="468"/>
      <c r="K45" s="468"/>
      <c r="L45" s="473"/>
      <c r="M45" s="468">
        <v>150000</v>
      </c>
      <c r="N45" s="468">
        <v>150000</v>
      </c>
      <c r="O45" s="470">
        <f t="shared" si="0"/>
        <v>150000</v>
      </c>
      <c r="P45" s="468"/>
      <c r="Q45" s="337"/>
    </row>
    <row r="46" spans="1:17" s="119" customFormat="1" ht="16.5">
      <c r="A46" s="163"/>
      <c r="B46" s="161"/>
      <c r="C46" s="170" t="s">
        <v>696</v>
      </c>
      <c r="D46" s="459"/>
      <c r="E46" s="468">
        <v>50000</v>
      </c>
      <c r="F46" s="461">
        <f t="shared" si="2"/>
        <v>50000</v>
      </c>
      <c r="G46" s="461">
        <f t="shared" si="1"/>
        <v>50000</v>
      </c>
      <c r="H46" s="468">
        <v>50000</v>
      </c>
      <c r="I46" s="468"/>
      <c r="J46" s="468"/>
      <c r="K46" s="468"/>
      <c r="L46" s="473"/>
      <c r="M46" s="468">
        <v>50000</v>
      </c>
      <c r="N46" s="468">
        <v>50000</v>
      </c>
      <c r="O46" s="470">
        <f t="shared" si="0"/>
        <v>50000</v>
      </c>
      <c r="P46" s="468"/>
      <c r="Q46" s="337"/>
    </row>
    <row r="47" spans="1:17" s="119" customFormat="1" ht="30">
      <c r="A47" s="163"/>
      <c r="B47" s="161"/>
      <c r="C47" s="170" t="s">
        <v>697</v>
      </c>
      <c r="D47" s="459"/>
      <c r="E47" s="468">
        <v>80000</v>
      </c>
      <c r="F47" s="461">
        <f t="shared" si="2"/>
        <v>80000</v>
      </c>
      <c r="G47" s="461">
        <f t="shared" si="1"/>
        <v>80000</v>
      </c>
      <c r="H47" s="468">
        <v>80000</v>
      </c>
      <c r="I47" s="468"/>
      <c r="J47" s="468"/>
      <c r="K47" s="468"/>
      <c r="L47" s="473"/>
      <c r="M47" s="468">
        <v>80000</v>
      </c>
      <c r="N47" s="468">
        <v>80000</v>
      </c>
      <c r="O47" s="470">
        <f t="shared" si="0"/>
        <v>80000</v>
      </c>
      <c r="P47" s="468"/>
      <c r="Q47" s="337"/>
    </row>
    <row r="48" spans="1:17" s="119" customFormat="1" ht="16.5">
      <c r="A48" s="163"/>
      <c r="B48" s="161"/>
      <c r="C48" s="170" t="s">
        <v>443</v>
      </c>
      <c r="D48" s="459"/>
      <c r="E48" s="468">
        <v>20000</v>
      </c>
      <c r="F48" s="461">
        <f t="shared" si="2"/>
        <v>10000</v>
      </c>
      <c r="G48" s="461">
        <f t="shared" si="1"/>
        <v>10000</v>
      </c>
      <c r="H48" s="468">
        <v>10000</v>
      </c>
      <c r="I48" s="468"/>
      <c r="J48" s="468"/>
      <c r="K48" s="468"/>
      <c r="L48" s="473"/>
      <c r="M48" s="468">
        <v>10000</v>
      </c>
      <c r="N48" s="468">
        <v>10000</v>
      </c>
      <c r="O48" s="470">
        <f t="shared" si="0"/>
        <v>10000</v>
      </c>
      <c r="P48" s="468"/>
      <c r="Q48" s="337"/>
    </row>
    <row r="49" spans="1:17" s="119" customFormat="1" ht="16.5">
      <c r="A49" s="163"/>
      <c r="B49" s="161"/>
      <c r="C49" s="170" t="s">
        <v>214</v>
      </c>
      <c r="D49" s="459"/>
      <c r="E49" s="468">
        <v>10000</v>
      </c>
      <c r="F49" s="461">
        <f t="shared" si="2"/>
        <v>10000</v>
      </c>
      <c r="G49" s="461">
        <f t="shared" si="1"/>
        <v>10000</v>
      </c>
      <c r="H49" s="468">
        <v>10000</v>
      </c>
      <c r="I49" s="468"/>
      <c r="J49" s="468"/>
      <c r="K49" s="468"/>
      <c r="L49" s="473"/>
      <c r="M49" s="468">
        <v>10000</v>
      </c>
      <c r="N49" s="468">
        <v>10000</v>
      </c>
      <c r="O49" s="470">
        <f t="shared" si="0"/>
        <v>10000</v>
      </c>
      <c r="P49" s="468"/>
      <c r="Q49" s="337"/>
    </row>
    <row r="50" spans="1:17" s="119" customFormat="1" ht="16.5">
      <c r="A50" s="163"/>
      <c r="B50" s="161"/>
      <c r="C50" s="170" t="s">
        <v>455</v>
      </c>
      <c r="D50" s="459"/>
      <c r="E50" s="468">
        <v>10000</v>
      </c>
      <c r="F50" s="461">
        <f t="shared" si="2"/>
        <v>10000</v>
      </c>
      <c r="G50" s="461">
        <f t="shared" si="1"/>
        <v>10000</v>
      </c>
      <c r="H50" s="468">
        <v>10000</v>
      </c>
      <c r="I50" s="468"/>
      <c r="J50" s="468"/>
      <c r="K50" s="468"/>
      <c r="L50" s="473"/>
      <c r="M50" s="468">
        <v>10000</v>
      </c>
      <c r="N50" s="468">
        <v>10000</v>
      </c>
      <c r="O50" s="470">
        <f t="shared" si="0"/>
        <v>10000</v>
      </c>
      <c r="P50" s="468"/>
      <c r="Q50" s="337"/>
    </row>
    <row r="51" spans="1:17" s="119" customFormat="1" ht="16.5">
      <c r="A51" s="163"/>
      <c r="B51" s="161"/>
      <c r="C51" s="170" t="s">
        <v>469</v>
      </c>
      <c r="D51" s="459"/>
      <c r="E51" s="468">
        <v>10000</v>
      </c>
      <c r="F51" s="461">
        <f t="shared" si="2"/>
        <v>10000</v>
      </c>
      <c r="G51" s="461">
        <f t="shared" si="1"/>
        <v>10000</v>
      </c>
      <c r="H51" s="468">
        <v>10000</v>
      </c>
      <c r="I51" s="468"/>
      <c r="J51" s="468"/>
      <c r="K51" s="468"/>
      <c r="L51" s="473"/>
      <c r="M51" s="468">
        <v>10000</v>
      </c>
      <c r="N51" s="468">
        <v>10000</v>
      </c>
      <c r="O51" s="470">
        <f t="shared" si="0"/>
        <v>10000</v>
      </c>
      <c r="P51" s="468"/>
      <c r="Q51" s="337"/>
    </row>
    <row r="52" spans="1:17" s="119" customFormat="1" ht="30">
      <c r="A52" s="173"/>
      <c r="B52" s="174"/>
      <c r="C52" s="170" t="s">
        <v>390</v>
      </c>
      <c r="D52" s="459"/>
      <c r="E52" s="468">
        <v>110000</v>
      </c>
      <c r="F52" s="461">
        <f t="shared" si="2"/>
        <v>110000</v>
      </c>
      <c r="G52" s="461">
        <f t="shared" si="1"/>
        <v>110000</v>
      </c>
      <c r="H52" s="468">
        <v>110000</v>
      </c>
      <c r="I52" s="468"/>
      <c r="J52" s="468"/>
      <c r="K52" s="468"/>
      <c r="L52" s="473"/>
      <c r="M52" s="468">
        <v>110000</v>
      </c>
      <c r="N52" s="468">
        <v>110000</v>
      </c>
      <c r="O52" s="470">
        <f t="shared" si="0"/>
        <v>110000</v>
      </c>
      <c r="P52" s="468"/>
      <c r="Q52" s="337"/>
    </row>
    <row r="53" spans="1:17" s="119" customFormat="1" ht="16.5">
      <c r="A53" s="173"/>
      <c r="B53" s="174"/>
      <c r="C53" s="170" t="s">
        <v>736</v>
      </c>
      <c r="D53" s="459"/>
      <c r="E53" s="468">
        <v>100000</v>
      </c>
      <c r="F53" s="461">
        <f t="shared" si="2"/>
        <v>100000</v>
      </c>
      <c r="G53" s="461">
        <f t="shared" si="1"/>
        <v>100000</v>
      </c>
      <c r="H53" s="468">
        <v>100000</v>
      </c>
      <c r="I53" s="468"/>
      <c r="J53" s="468"/>
      <c r="K53" s="468"/>
      <c r="L53" s="473"/>
      <c r="M53" s="468">
        <v>100000</v>
      </c>
      <c r="N53" s="468">
        <v>100000</v>
      </c>
      <c r="O53" s="470">
        <f t="shared" si="0"/>
        <v>100000</v>
      </c>
      <c r="P53" s="468"/>
      <c r="Q53" s="337"/>
    </row>
    <row r="54" spans="1:17" s="119" customFormat="1" ht="30">
      <c r="A54" s="173"/>
      <c r="B54" s="174"/>
      <c r="C54" s="170" t="s">
        <v>328</v>
      </c>
      <c r="D54" s="459"/>
      <c r="E54" s="468">
        <f>6*2000*12+12000</f>
        <v>156000</v>
      </c>
      <c r="F54" s="461">
        <f t="shared" si="2"/>
        <v>156000</v>
      </c>
      <c r="G54" s="461">
        <f t="shared" si="1"/>
        <v>156000</v>
      </c>
      <c r="H54" s="468">
        <v>156000</v>
      </c>
      <c r="I54" s="468"/>
      <c r="J54" s="468"/>
      <c r="K54" s="468"/>
      <c r="L54" s="473"/>
      <c r="M54" s="468">
        <v>156000</v>
      </c>
      <c r="N54" s="468">
        <v>156000</v>
      </c>
      <c r="O54" s="470">
        <f t="shared" si="0"/>
        <v>156000</v>
      </c>
      <c r="P54" s="468"/>
      <c r="Q54" s="337"/>
    </row>
    <row r="55" spans="1:17" s="119" customFormat="1" ht="16.5">
      <c r="A55" s="173"/>
      <c r="B55" s="174"/>
      <c r="C55" s="170" t="s">
        <v>850</v>
      </c>
      <c r="D55" s="459"/>
      <c r="E55" s="468">
        <f>27*0.2*1300*12</f>
        <v>84240.000000000015</v>
      </c>
      <c r="F55" s="461">
        <f t="shared" si="2"/>
        <v>87260.000000000015</v>
      </c>
      <c r="G55" s="461">
        <f t="shared" si="1"/>
        <v>84240.000000000015</v>
      </c>
      <c r="H55" s="468">
        <f>27*0.2*1300*12</f>
        <v>84240.000000000015</v>
      </c>
      <c r="I55" s="468"/>
      <c r="J55" s="468">
        <v>3020</v>
      </c>
      <c r="K55" s="468"/>
      <c r="L55" s="473"/>
      <c r="M55" s="468">
        <v>96744</v>
      </c>
      <c r="N55" s="468">
        <f>28*0.2*1390*12</f>
        <v>93408.000000000015</v>
      </c>
      <c r="O55" s="470">
        <f t="shared" si="0"/>
        <v>93408.000000000015</v>
      </c>
      <c r="P55" s="468"/>
      <c r="Q55" s="337"/>
    </row>
    <row r="56" spans="1:17" s="119" customFormat="1" ht="16.5">
      <c r="A56" s="173"/>
      <c r="B56" s="174"/>
      <c r="C56" s="170" t="s">
        <v>161</v>
      </c>
      <c r="D56" s="475"/>
      <c r="E56" s="468">
        <v>16000</v>
      </c>
      <c r="F56" s="461">
        <f t="shared" si="2"/>
        <v>16000</v>
      </c>
      <c r="G56" s="461">
        <f t="shared" si="1"/>
        <v>16000</v>
      </c>
      <c r="H56" s="468">
        <v>16000</v>
      </c>
      <c r="I56" s="468"/>
      <c r="J56" s="468"/>
      <c r="K56" s="468"/>
      <c r="L56" s="473"/>
      <c r="M56" s="468">
        <v>16000</v>
      </c>
      <c r="N56" s="468">
        <v>16000</v>
      </c>
      <c r="O56" s="470">
        <f t="shared" si="0"/>
        <v>16000</v>
      </c>
      <c r="P56" s="468"/>
      <c r="Q56" s="337"/>
    </row>
    <row r="57" spans="1:17" s="119" customFormat="1" ht="16.5">
      <c r="A57" s="173"/>
      <c r="B57" s="174"/>
      <c r="C57" s="170" t="s">
        <v>46</v>
      </c>
      <c r="D57" s="459"/>
      <c r="E57" s="468">
        <v>550000</v>
      </c>
      <c r="F57" s="461">
        <f t="shared" si="2"/>
        <v>550000</v>
      </c>
      <c r="G57" s="461">
        <f>H57+I57</f>
        <v>550000</v>
      </c>
      <c r="H57" s="468">
        <v>100000</v>
      </c>
      <c r="I57" s="468">
        <v>450000</v>
      </c>
      <c r="J57" s="468"/>
      <c r="K57" s="468"/>
      <c r="L57" s="473"/>
      <c r="M57" s="468">
        <v>200000</v>
      </c>
      <c r="N57" s="468">
        <v>200000</v>
      </c>
      <c r="O57" s="470">
        <f t="shared" si="0"/>
        <v>200000</v>
      </c>
      <c r="P57" s="468"/>
      <c r="Q57" s="337"/>
    </row>
    <row r="58" spans="1:17" s="119" customFormat="1" ht="16.5">
      <c r="A58" s="173"/>
      <c r="B58" s="174"/>
      <c r="C58" s="170" t="s">
        <v>851</v>
      </c>
      <c r="D58" s="459"/>
      <c r="E58" s="468">
        <f>12*1300*0.3*12</f>
        <v>56160</v>
      </c>
      <c r="F58" s="461">
        <f t="shared" si="2"/>
        <v>56160</v>
      </c>
      <c r="G58" s="461">
        <f t="shared" si="1"/>
        <v>56160</v>
      </c>
      <c r="H58" s="468">
        <v>56160</v>
      </c>
      <c r="I58" s="468"/>
      <c r="J58" s="468"/>
      <c r="K58" s="468"/>
      <c r="L58" s="473"/>
      <c r="M58" s="468">
        <f>11*1390*12*0.3</f>
        <v>55044</v>
      </c>
      <c r="N58" s="468">
        <v>55044</v>
      </c>
      <c r="O58" s="470">
        <f t="shared" si="0"/>
        <v>55044</v>
      </c>
      <c r="P58" s="468"/>
      <c r="Q58" s="339"/>
    </row>
    <row r="59" spans="1:17" s="119" customFormat="1" ht="16.5">
      <c r="A59" s="173"/>
      <c r="B59" s="174"/>
      <c r="C59" s="170" t="s">
        <v>50</v>
      </c>
      <c r="D59" s="459"/>
      <c r="E59" s="468">
        <v>30000</v>
      </c>
      <c r="F59" s="461">
        <f t="shared" si="2"/>
        <v>30000</v>
      </c>
      <c r="G59" s="461">
        <f t="shared" si="1"/>
        <v>30000</v>
      </c>
      <c r="H59" s="468">
        <v>30000</v>
      </c>
      <c r="I59" s="468"/>
      <c r="J59" s="468"/>
      <c r="K59" s="468"/>
      <c r="L59" s="473"/>
      <c r="M59" s="468">
        <v>30000</v>
      </c>
      <c r="N59" s="468">
        <v>30000</v>
      </c>
      <c r="O59" s="470">
        <f t="shared" si="0"/>
        <v>30000</v>
      </c>
      <c r="P59" s="468"/>
      <c r="Q59" s="339"/>
    </row>
    <row r="60" spans="1:17" s="119" customFormat="1" ht="16.5">
      <c r="A60" s="173"/>
      <c r="B60" s="174"/>
      <c r="C60" s="170" t="s">
        <v>44</v>
      </c>
      <c r="D60" s="459"/>
      <c r="E60" s="468">
        <v>30000</v>
      </c>
      <c r="F60" s="461">
        <f t="shared" si="2"/>
        <v>30000</v>
      </c>
      <c r="G60" s="461">
        <f t="shared" si="1"/>
        <v>30000</v>
      </c>
      <c r="H60" s="468">
        <v>30000</v>
      </c>
      <c r="I60" s="468"/>
      <c r="J60" s="468"/>
      <c r="K60" s="468"/>
      <c r="L60" s="473"/>
      <c r="M60" s="468">
        <v>30000</v>
      </c>
      <c r="N60" s="468">
        <v>30000</v>
      </c>
      <c r="O60" s="470">
        <f t="shared" si="0"/>
        <v>30000</v>
      </c>
      <c r="P60" s="468"/>
      <c r="Q60" s="339"/>
    </row>
    <row r="61" spans="1:17" s="119" customFormat="1" ht="69" customHeight="1">
      <c r="A61" s="697"/>
      <c r="B61" s="698"/>
      <c r="C61" s="699" t="s">
        <v>852</v>
      </c>
      <c r="D61" s="700"/>
      <c r="E61" s="701">
        <v>250000</v>
      </c>
      <c r="F61" s="702">
        <f t="shared" si="2"/>
        <v>200000</v>
      </c>
      <c r="G61" s="702">
        <v>200000</v>
      </c>
      <c r="H61" s="701">
        <v>200000</v>
      </c>
      <c r="I61" s="701"/>
      <c r="J61" s="701"/>
      <c r="K61" s="701"/>
      <c r="L61" s="703"/>
      <c r="M61" s="701">
        <v>250000</v>
      </c>
      <c r="N61" s="701">
        <v>250000</v>
      </c>
      <c r="O61" s="704">
        <f t="shared" si="0"/>
        <v>250000</v>
      </c>
      <c r="P61" s="701"/>
      <c r="Q61" s="357" t="s">
        <v>853</v>
      </c>
    </row>
    <row r="62" spans="1:17" s="119" customFormat="1" ht="16.5">
      <c r="A62" s="690"/>
      <c r="B62" s="691"/>
      <c r="C62" s="692" t="s">
        <v>854</v>
      </c>
      <c r="D62" s="455"/>
      <c r="E62" s="693"/>
      <c r="F62" s="694">
        <f t="shared" si="2"/>
        <v>0</v>
      </c>
      <c r="G62" s="694"/>
      <c r="H62" s="693"/>
      <c r="I62" s="693"/>
      <c r="J62" s="693"/>
      <c r="K62" s="693"/>
      <c r="L62" s="695"/>
      <c r="M62" s="693">
        <v>5000</v>
      </c>
      <c r="N62" s="693">
        <v>5000</v>
      </c>
      <c r="O62" s="696">
        <f t="shared" si="0"/>
        <v>5000</v>
      </c>
      <c r="P62" s="693"/>
      <c r="Q62" s="639"/>
    </row>
    <row r="63" spans="1:17" s="119" customFormat="1" ht="16.5">
      <c r="A63" s="173"/>
      <c r="B63" s="174"/>
      <c r="C63" s="477" t="s">
        <v>855</v>
      </c>
      <c r="D63" s="459"/>
      <c r="E63" s="468"/>
      <c r="F63" s="461">
        <f t="shared" si="2"/>
        <v>0</v>
      </c>
      <c r="G63" s="461"/>
      <c r="H63" s="468"/>
      <c r="I63" s="468"/>
      <c r="J63" s="468"/>
      <c r="K63" s="468"/>
      <c r="L63" s="473"/>
      <c r="M63" s="468">
        <v>15000</v>
      </c>
      <c r="N63" s="468">
        <v>15000</v>
      </c>
      <c r="O63" s="470">
        <f t="shared" si="0"/>
        <v>15000</v>
      </c>
      <c r="P63" s="468"/>
      <c r="Q63" s="639"/>
    </row>
    <row r="64" spans="1:17" s="119" customFormat="1" ht="16.5">
      <c r="A64" s="173"/>
      <c r="B64" s="174"/>
      <c r="C64" s="170" t="s">
        <v>856</v>
      </c>
      <c r="D64" s="459"/>
      <c r="E64" s="468"/>
      <c r="F64" s="461">
        <f t="shared" si="2"/>
        <v>0</v>
      </c>
      <c r="G64" s="461"/>
      <c r="H64" s="468"/>
      <c r="I64" s="468"/>
      <c r="J64" s="468"/>
      <c r="K64" s="468"/>
      <c r="L64" s="473"/>
      <c r="M64" s="468">
        <v>200000</v>
      </c>
      <c r="N64" s="468">
        <v>200000</v>
      </c>
      <c r="O64" s="470">
        <f t="shared" si="0"/>
        <v>200000</v>
      </c>
      <c r="P64" s="468"/>
      <c r="Q64" s="357"/>
    </row>
    <row r="65" spans="1:17" s="119" customFormat="1" ht="16.5">
      <c r="A65" s="478">
        <v>2</v>
      </c>
      <c r="B65" s="479"/>
      <c r="C65" s="480" t="s">
        <v>215</v>
      </c>
      <c r="D65" s="481">
        <f>SUM(D67:D82)</f>
        <v>0</v>
      </c>
      <c r="E65" s="482">
        <f>SUM(E67:E87)</f>
        <v>1404900</v>
      </c>
      <c r="F65" s="483">
        <f>G65+J65</f>
        <v>1264410</v>
      </c>
      <c r="G65" s="483">
        <f>H65+I65</f>
        <v>1256900</v>
      </c>
      <c r="H65" s="482">
        <f>SUM(H67:H87)</f>
        <v>1186900</v>
      </c>
      <c r="I65" s="482">
        <f>SUM(I67:I87)</f>
        <v>70000</v>
      </c>
      <c r="J65" s="482">
        <f>SUM(J67:J87)</f>
        <v>7510</v>
      </c>
      <c r="K65" s="482"/>
      <c r="L65" s="481"/>
      <c r="M65" s="482">
        <f>SUM(M67:M91)</f>
        <v>1682560</v>
      </c>
      <c r="N65" s="482">
        <f>SUM(N67:N91)</f>
        <v>1495560</v>
      </c>
      <c r="O65" s="482">
        <f>SUM(O67:O91)</f>
        <v>1495560</v>
      </c>
      <c r="P65" s="482"/>
      <c r="Q65" s="640"/>
    </row>
    <row r="66" spans="1:17" s="119" customFormat="1" ht="16.5">
      <c r="A66" s="171"/>
      <c r="B66" s="174"/>
      <c r="C66" s="170" t="s">
        <v>470</v>
      </c>
      <c r="D66" s="459"/>
      <c r="E66" s="460"/>
      <c r="F66" s="461">
        <f t="shared" si="2"/>
        <v>0</v>
      </c>
      <c r="G66" s="461">
        <f t="shared" si="1"/>
        <v>0</v>
      </c>
      <c r="H66" s="460"/>
      <c r="I66" s="460"/>
      <c r="J66" s="484"/>
      <c r="K66" s="484"/>
      <c r="L66" s="485"/>
      <c r="M66" s="484"/>
      <c r="N66" s="484"/>
      <c r="O66" s="470">
        <f t="shared" si="0"/>
        <v>0</v>
      </c>
      <c r="P66" s="484"/>
      <c r="Q66" s="626"/>
    </row>
    <row r="67" spans="1:17" s="119" customFormat="1" ht="16.5">
      <c r="A67" s="171"/>
      <c r="B67" s="174"/>
      <c r="C67" s="170" t="s">
        <v>372</v>
      </c>
      <c r="D67" s="459"/>
      <c r="E67" s="468">
        <v>21000</v>
      </c>
      <c r="F67" s="461">
        <f t="shared" si="2"/>
        <v>21000</v>
      </c>
      <c r="G67" s="461">
        <f t="shared" si="1"/>
        <v>21000</v>
      </c>
      <c r="H67" s="468">
        <v>21000</v>
      </c>
      <c r="I67" s="468"/>
      <c r="J67" s="484"/>
      <c r="K67" s="484"/>
      <c r="L67" s="485"/>
      <c r="M67" s="484">
        <v>21000</v>
      </c>
      <c r="N67" s="484">
        <f>M67</f>
        <v>21000</v>
      </c>
      <c r="O67" s="470">
        <f t="shared" si="0"/>
        <v>21000</v>
      </c>
      <c r="P67" s="484"/>
      <c r="Q67" s="626"/>
    </row>
    <row r="68" spans="1:17" s="119" customFormat="1" ht="16.5">
      <c r="A68" s="171"/>
      <c r="B68" s="174"/>
      <c r="C68" s="170" t="s">
        <v>212</v>
      </c>
      <c r="D68" s="459"/>
      <c r="E68" s="468">
        <v>40000</v>
      </c>
      <c r="F68" s="461">
        <f t="shared" si="2"/>
        <v>35000</v>
      </c>
      <c r="G68" s="461">
        <f>H68+I68</f>
        <v>35000</v>
      </c>
      <c r="H68" s="468">
        <v>35000</v>
      </c>
      <c r="I68" s="468"/>
      <c r="J68" s="484"/>
      <c r="K68" s="484"/>
      <c r="L68" s="485"/>
      <c r="M68" s="484">
        <v>35000</v>
      </c>
      <c r="N68" s="484">
        <f>M68</f>
        <v>35000</v>
      </c>
      <c r="O68" s="470">
        <f t="shared" si="0"/>
        <v>35000</v>
      </c>
      <c r="P68" s="484"/>
      <c r="Q68" s="626"/>
    </row>
    <row r="69" spans="1:17" s="119" customFormat="1" ht="21.75" customHeight="1">
      <c r="A69" s="171"/>
      <c r="B69" s="174"/>
      <c r="C69" s="170" t="s">
        <v>45</v>
      </c>
      <c r="D69" s="459"/>
      <c r="E69" s="468">
        <v>8000</v>
      </c>
      <c r="F69" s="461">
        <f t="shared" si="2"/>
        <v>8000</v>
      </c>
      <c r="G69" s="461">
        <f>H69+I69</f>
        <v>8000</v>
      </c>
      <c r="H69" s="468">
        <v>8000</v>
      </c>
      <c r="I69" s="468"/>
      <c r="J69" s="484"/>
      <c r="K69" s="484"/>
      <c r="L69" s="485"/>
      <c r="M69" s="484">
        <v>8000</v>
      </c>
      <c r="N69" s="484">
        <f>M69</f>
        <v>8000</v>
      </c>
      <c r="O69" s="470">
        <f t="shared" si="0"/>
        <v>8000</v>
      </c>
      <c r="P69" s="484"/>
      <c r="Q69" s="626"/>
    </row>
    <row r="70" spans="1:17" s="119" customFormat="1" ht="39" customHeight="1">
      <c r="A70" s="171"/>
      <c r="B70" s="174"/>
      <c r="C70" s="170" t="s">
        <v>1170</v>
      </c>
      <c r="D70" s="459"/>
      <c r="E70" s="468">
        <v>120000</v>
      </c>
      <c r="F70" s="461">
        <f t="shared" si="2"/>
        <v>120000</v>
      </c>
      <c r="G70" s="461">
        <f>H70+I70</f>
        <v>120000</v>
      </c>
      <c r="H70" s="468">
        <v>120000</v>
      </c>
      <c r="I70" s="468"/>
      <c r="J70" s="484"/>
      <c r="K70" s="484"/>
      <c r="L70" s="485"/>
      <c r="M70" s="484">
        <v>128000</v>
      </c>
      <c r="N70" s="484">
        <v>128000</v>
      </c>
      <c r="O70" s="470">
        <f t="shared" si="0"/>
        <v>128000</v>
      </c>
      <c r="P70" s="484"/>
      <c r="Q70" s="626"/>
    </row>
    <row r="71" spans="1:17" s="119" customFormat="1" ht="16.5">
      <c r="A71" s="171"/>
      <c r="B71" s="174"/>
      <c r="C71" s="170" t="s">
        <v>857</v>
      </c>
      <c r="D71" s="459"/>
      <c r="E71" s="468">
        <v>6700</v>
      </c>
      <c r="F71" s="461">
        <f t="shared" si="2"/>
        <v>6700</v>
      </c>
      <c r="G71" s="461">
        <f t="shared" si="1"/>
        <v>6700</v>
      </c>
      <c r="H71" s="468">
        <v>6700</v>
      </c>
      <c r="I71" s="468"/>
      <c r="J71" s="484"/>
      <c r="K71" s="484"/>
      <c r="L71" s="485"/>
      <c r="M71" s="484">
        <v>6700</v>
      </c>
      <c r="N71" s="484">
        <f>M71</f>
        <v>6700</v>
      </c>
      <c r="O71" s="470">
        <f t="shared" si="0"/>
        <v>6700</v>
      </c>
      <c r="P71" s="484"/>
      <c r="Q71" s="626"/>
    </row>
    <row r="72" spans="1:17" s="119" customFormat="1" ht="16.5">
      <c r="A72" s="173"/>
      <c r="B72" s="174"/>
      <c r="C72" s="170" t="s">
        <v>381</v>
      </c>
      <c r="D72" s="459"/>
      <c r="E72" s="468">
        <f>174720+10920+12480+18720+9360</f>
        <v>226200</v>
      </c>
      <c r="F72" s="461">
        <f t="shared" si="2"/>
        <v>233710</v>
      </c>
      <c r="G72" s="461">
        <f t="shared" si="1"/>
        <v>226200</v>
      </c>
      <c r="H72" s="468">
        <v>226200</v>
      </c>
      <c r="I72" s="468"/>
      <c r="J72" s="484">
        <v>7510</v>
      </c>
      <c r="K72" s="484"/>
      <c r="L72" s="485"/>
      <c r="M72" s="484">
        <v>231860</v>
      </c>
      <c r="N72" s="484">
        <v>231860</v>
      </c>
      <c r="O72" s="470">
        <v>231860</v>
      </c>
      <c r="P72" s="484"/>
      <c r="Q72" s="626"/>
    </row>
    <row r="73" spans="1:17" s="119" customFormat="1" ht="33.75" customHeight="1">
      <c r="A73" s="171"/>
      <c r="B73" s="172"/>
      <c r="C73" s="170" t="s">
        <v>734</v>
      </c>
      <c r="D73" s="459"/>
      <c r="E73" s="468">
        <v>6000</v>
      </c>
      <c r="F73" s="461">
        <f t="shared" si="2"/>
        <v>6000</v>
      </c>
      <c r="G73" s="461">
        <f t="shared" si="1"/>
        <v>6000</v>
      </c>
      <c r="H73" s="468">
        <v>6000</v>
      </c>
      <c r="I73" s="468"/>
      <c r="J73" s="484"/>
      <c r="K73" s="484"/>
      <c r="L73" s="485"/>
      <c r="M73" s="484">
        <v>6000</v>
      </c>
      <c r="N73" s="484">
        <v>6000</v>
      </c>
      <c r="O73" s="470">
        <f t="shared" ref="O73:O129" si="5">N73</f>
        <v>6000</v>
      </c>
      <c r="P73" s="484"/>
      <c r="Q73" s="626"/>
    </row>
    <row r="74" spans="1:17" s="119" customFormat="1" ht="16.5">
      <c r="A74" s="173"/>
      <c r="B74" s="174"/>
      <c r="C74" s="170" t="s">
        <v>435</v>
      </c>
      <c r="D74" s="459"/>
      <c r="E74" s="468">
        <v>20000</v>
      </c>
      <c r="F74" s="461">
        <f t="shared" si="2"/>
        <v>15000</v>
      </c>
      <c r="G74" s="461">
        <f t="shared" si="1"/>
        <v>15000</v>
      </c>
      <c r="H74" s="468">
        <v>15000</v>
      </c>
      <c r="I74" s="468"/>
      <c r="J74" s="484"/>
      <c r="K74" s="484"/>
      <c r="L74" s="485"/>
      <c r="M74" s="484">
        <v>30000</v>
      </c>
      <c r="N74" s="484">
        <v>30000</v>
      </c>
      <c r="O74" s="470">
        <f t="shared" si="5"/>
        <v>30000</v>
      </c>
      <c r="P74" s="484"/>
      <c r="Q74" s="626"/>
    </row>
    <row r="75" spans="1:17" s="119" customFormat="1" ht="72" customHeight="1">
      <c r="A75" s="173"/>
      <c r="B75" s="174"/>
      <c r="C75" s="170" t="s">
        <v>329</v>
      </c>
      <c r="D75" s="459"/>
      <c r="E75" s="468">
        <v>193000</v>
      </c>
      <c r="F75" s="461">
        <f t="shared" si="2"/>
        <v>150000</v>
      </c>
      <c r="G75" s="461">
        <f t="shared" si="1"/>
        <v>150000</v>
      </c>
      <c r="H75" s="468">
        <v>150000</v>
      </c>
      <c r="I75" s="468"/>
      <c r="J75" s="484"/>
      <c r="K75" s="484"/>
      <c r="L75" s="485"/>
      <c r="M75" s="484">
        <v>200000</v>
      </c>
      <c r="N75" s="484">
        <v>200000</v>
      </c>
      <c r="O75" s="470">
        <f t="shared" si="5"/>
        <v>200000</v>
      </c>
      <c r="P75" s="484"/>
      <c r="Q75" s="357" t="s">
        <v>858</v>
      </c>
    </row>
    <row r="76" spans="1:17" s="119" customFormat="1" ht="45">
      <c r="A76" s="173"/>
      <c r="B76" s="174"/>
      <c r="C76" s="170" t="s">
        <v>859</v>
      </c>
      <c r="D76" s="459"/>
      <c r="E76" s="468">
        <v>40000</v>
      </c>
      <c r="F76" s="461">
        <f t="shared" si="2"/>
        <v>40000</v>
      </c>
      <c r="G76" s="461">
        <f t="shared" si="1"/>
        <v>40000</v>
      </c>
      <c r="H76" s="468">
        <v>40000</v>
      </c>
      <c r="I76" s="468"/>
      <c r="J76" s="484"/>
      <c r="K76" s="484"/>
      <c r="L76" s="485"/>
      <c r="M76" s="484">
        <v>72000</v>
      </c>
      <c r="N76" s="484">
        <v>72000</v>
      </c>
      <c r="O76" s="470">
        <f t="shared" si="5"/>
        <v>72000</v>
      </c>
      <c r="P76" s="484"/>
      <c r="Q76" s="626"/>
    </row>
    <row r="77" spans="1:17" s="119" customFormat="1" ht="39.75" customHeight="1">
      <c r="A77" s="173"/>
      <c r="B77" s="174"/>
      <c r="C77" s="170" t="s">
        <v>330</v>
      </c>
      <c r="D77" s="459"/>
      <c r="E77" s="468">
        <v>78000</v>
      </c>
      <c r="F77" s="461">
        <f t="shared" ref="F77:F130" si="6">G77+J77</f>
        <v>68000</v>
      </c>
      <c r="G77" s="461">
        <f t="shared" si="1"/>
        <v>68000</v>
      </c>
      <c r="H77" s="468">
        <f>(56+12)*1000</f>
        <v>68000</v>
      </c>
      <c r="I77" s="468"/>
      <c r="J77" s="484"/>
      <c r="K77" s="484"/>
      <c r="L77" s="485"/>
      <c r="M77" s="484">
        <v>80000</v>
      </c>
      <c r="N77" s="484">
        <v>68000</v>
      </c>
      <c r="O77" s="470">
        <f t="shared" si="5"/>
        <v>68000</v>
      </c>
      <c r="P77" s="484"/>
      <c r="Q77" s="626"/>
    </row>
    <row r="78" spans="1:17" s="119" customFormat="1" ht="16.5">
      <c r="A78" s="173"/>
      <c r="B78" s="174"/>
      <c r="C78" s="170" t="s">
        <v>860</v>
      </c>
      <c r="D78" s="459"/>
      <c r="E78" s="468">
        <f>28*2000</f>
        <v>56000</v>
      </c>
      <c r="F78" s="461">
        <f t="shared" si="6"/>
        <v>56000</v>
      </c>
      <c r="G78" s="461">
        <f t="shared" si="1"/>
        <v>56000</v>
      </c>
      <c r="H78" s="468">
        <v>56000</v>
      </c>
      <c r="I78" s="468"/>
      <c r="J78" s="484"/>
      <c r="K78" s="484"/>
      <c r="L78" s="485"/>
      <c r="M78" s="484">
        <f>28*1500</f>
        <v>42000</v>
      </c>
      <c r="N78" s="484">
        <v>42000</v>
      </c>
      <c r="O78" s="470">
        <f t="shared" si="5"/>
        <v>42000</v>
      </c>
      <c r="P78" s="484"/>
      <c r="Q78" s="626"/>
    </row>
    <row r="79" spans="1:17" s="119" customFormat="1" ht="16.5">
      <c r="A79" s="173"/>
      <c r="B79" s="174"/>
      <c r="C79" s="170" t="s">
        <v>861</v>
      </c>
      <c r="D79" s="459"/>
      <c r="E79" s="468">
        <v>300000</v>
      </c>
      <c r="F79" s="461">
        <f t="shared" si="6"/>
        <v>270000</v>
      </c>
      <c r="G79" s="461">
        <f t="shared" si="1"/>
        <v>270000</v>
      </c>
      <c r="H79" s="468">
        <f>100000+100000</f>
        <v>200000</v>
      </c>
      <c r="I79" s="468">
        <v>70000</v>
      </c>
      <c r="J79" s="484"/>
      <c r="K79" s="484"/>
      <c r="L79" s="485"/>
      <c r="M79" s="484">
        <v>300000</v>
      </c>
      <c r="N79" s="484">
        <v>270000</v>
      </c>
      <c r="O79" s="470">
        <f t="shared" si="5"/>
        <v>270000</v>
      </c>
      <c r="P79" s="484"/>
      <c r="Q79" s="626"/>
    </row>
    <row r="80" spans="1:17" s="119" customFormat="1" ht="16.5">
      <c r="A80" s="173"/>
      <c r="B80" s="174"/>
      <c r="C80" s="170" t="s">
        <v>331</v>
      </c>
      <c r="D80" s="459"/>
      <c r="E80" s="468">
        <v>28000</v>
      </c>
      <c r="F80" s="461">
        <f t="shared" si="6"/>
        <v>28000</v>
      </c>
      <c r="G80" s="461">
        <f t="shared" si="1"/>
        <v>28000</v>
      </c>
      <c r="H80" s="468">
        <v>28000</v>
      </c>
      <c r="I80" s="468"/>
      <c r="J80" s="484"/>
      <c r="K80" s="484"/>
      <c r="L80" s="485"/>
      <c r="M80" s="484">
        <v>28000</v>
      </c>
      <c r="N80" s="484">
        <v>28000</v>
      </c>
      <c r="O80" s="470">
        <f t="shared" si="5"/>
        <v>28000</v>
      </c>
      <c r="P80" s="484"/>
      <c r="Q80" s="626"/>
    </row>
    <row r="81" spans="1:17" s="119" customFormat="1" ht="16.5">
      <c r="A81" s="173"/>
      <c r="B81" s="174"/>
      <c r="C81" s="170" t="s">
        <v>398</v>
      </c>
      <c r="D81" s="459"/>
      <c r="E81" s="468">
        <v>20000</v>
      </c>
      <c r="F81" s="461">
        <f t="shared" si="6"/>
        <v>15000</v>
      </c>
      <c r="G81" s="461">
        <f>H81+I81</f>
        <v>15000</v>
      </c>
      <c r="H81" s="468">
        <v>15000</v>
      </c>
      <c r="I81" s="468"/>
      <c r="J81" s="484"/>
      <c r="K81" s="484"/>
      <c r="L81" s="485"/>
      <c r="M81" s="484">
        <v>25000</v>
      </c>
      <c r="N81" s="484">
        <v>15000</v>
      </c>
      <c r="O81" s="470">
        <f t="shared" si="5"/>
        <v>15000</v>
      </c>
      <c r="P81" s="484"/>
      <c r="Q81" s="626"/>
    </row>
    <row r="82" spans="1:17" s="119" customFormat="1" ht="16.5">
      <c r="A82" s="173"/>
      <c r="B82" s="174"/>
      <c r="C82" s="170" t="s">
        <v>336</v>
      </c>
      <c r="D82" s="459"/>
      <c r="E82" s="468">
        <v>48000</v>
      </c>
      <c r="F82" s="461">
        <f t="shared" si="6"/>
        <v>48000</v>
      </c>
      <c r="G82" s="461">
        <f>H82+I82</f>
        <v>48000</v>
      </c>
      <c r="H82" s="468">
        <v>48000</v>
      </c>
      <c r="I82" s="468"/>
      <c r="J82" s="484"/>
      <c r="K82" s="484"/>
      <c r="L82" s="485"/>
      <c r="M82" s="484">
        <v>48000</v>
      </c>
      <c r="N82" s="484">
        <v>48000</v>
      </c>
      <c r="O82" s="470">
        <f t="shared" si="5"/>
        <v>48000</v>
      </c>
      <c r="P82" s="484"/>
      <c r="Q82" s="626"/>
    </row>
    <row r="83" spans="1:17" s="119" customFormat="1" ht="30">
      <c r="A83" s="173"/>
      <c r="B83" s="174"/>
      <c r="C83" s="170" t="s">
        <v>862</v>
      </c>
      <c r="D83" s="459"/>
      <c r="E83" s="468">
        <v>44000</v>
      </c>
      <c r="F83" s="461">
        <f t="shared" si="6"/>
        <v>44000</v>
      </c>
      <c r="G83" s="461">
        <f t="shared" ref="G83:G87" si="7">H83+I83</f>
        <v>44000</v>
      </c>
      <c r="H83" s="468">
        <v>44000</v>
      </c>
      <c r="I83" s="468"/>
      <c r="J83" s="484"/>
      <c r="K83" s="484"/>
      <c r="L83" s="485"/>
      <c r="M83" s="484">
        <v>60000</v>
      </c>
      <c r="N83" s="484">
        <v>50000</v>
      </c>
      <c r="O83" s="470">
        <f t="shared" si="5"/>
        <v>50000</v>
      </c>
      <c r="P83" s="484"/>
      <c r="Q83" s="357"/>
    </row>
    <row r="84" spans="1:17" s="119" customFormat="1" ht="42" customHeight="1">
      <c r="A84" s="173"/>
      <c r="B84" s="174"/>
      <c r="C84" s="170" t="s">
        <v>332</v>
      </c>
      <c r="D84" s="459"/>
      <c r="E84" s="468">
        <v>50000</v>
      </c>
      <c r="F84" s="461">
        <f t="shared" si="6"/>
        <v>30000</v>
      </c>
      <c r="G84" s="461">
        <f t="shared" si="7"/>
        <v>30000</v>
      </c>
      <c r="H84" s="468">
        <v>30000</v>
      </c>
      <c r="I84" s="468"/>
      <c r="J84" s="484"/>
      <c r="K84" s="484"/>
      <c r="L84" s="485"/>
      <c r="M84" s="484">
        <v>60000</v>
      </c>
      <c r="N84" s="484">
        <v>40000</v>
      </c>
      <c r="O84" s="470">
        <f t="shared" si="5"/>
        <v>40000</v>
      </c>
      <c r="P84" s="484"/>
      <c r="Q84" s="357" t="s">
        <v>333</v>
      </c>
    </row>
    <row r="85" spans="1:17" s="119" customFormat="1" ht="33" customHeight="1">
      <c r="A85" s="173"/>
      <c r="B85" s="174"/>
      <c r="C85" s="170" t="s">
        <v>334</v>
      </c>
      <c r="D85" s="459"/>
      <c r="E85" s="468">
        <v>50000</v>
      </c>
      <c r="F85" s="461">
        <f t="shared" si="6"/>
        <v>30000</v>
      </c>
      <c r="G85" s="461">
        <f t="shared" si="7"/>
        <v>30000</v>
      </c>
      <c r="H85" s="468">
        <v>30000</v>
      </c>
      <c r="I85" s="468"/>
      <c r="J85" s="484"/>
      <c r="K85" s="484"/>
      <c r="L85" s="485"/>
      <c r="M85" s="484">
        <v>60000</v>
      </c>
      <c r="N85" s="484">
        <v>40000</v>
      </c>
      <c r="O85" s="470">
        <f t="shared" si="5"/>
        <v>40000</v>
      </c>
      <c r="P85" s="484"/>
      <c r="Q85" s="357" t="s">
        <v>333</v>
      </c>
    </row>
    <row r="86" spans="1:17" s="119" customFormat="1" ht="56.25" customHeight="1">
      <c r="A86" s="173"/>
      <c r="B86" s="174"/>
      <c r="C86" s="170" t="s">
        <v>335</v>
      </c>
      <c r="D86" s="459"/>
      <c r="E86" s="468">
        <v>20000</v>
      </c>
      <c r="F86" s="461">
        <f t="shared" si="6"/>
        <v>20000</v>
      </c>
      <c r="G86" s="461">
        <f t="shared" si="7"/>
        <v>20000</v>
      </c>
      <c r="H86" s="468">
        <v>20000</v>
      </c>
      <c r="I86" s="468"/>
      <c r="J86" s="484"/>
      <c r="K86" s="484"/>
      <c r="L86" s="485"/>
      <c r="M86" s="484">
        <v>40000</v>
      </c>
      <c r="N86" s="484">
        <v>20000</v>
      </c>
      <c r="O86" s="470">
        <f t="shared" si="5"/>
        <v>20000</v>
      </c>
      <c r="P86" s="484"/>
      <c r="Q86" s="357" t="s">
        <v>863</v>
      </c>
    </row>
    <row r="87" spans="1:17" s="119" customFormat="1" ht="30">
      <c r="A87" s="173"/>
      <c r="B87" s="174"/>
      <c r="C87" s="170" t="s">
        <v>864</v>
      </c>
      <c r="D87" s="459"/>
      <c r="E87" s="468">
        <v>30000</v>
      </c>
      <c r="F87" s="461">
        <f t="shared" si="6"/>
        <v>20000</v>
      </c>
      <c r="G87" s="461">
        <f t="shared" si="7"/>
        <v>20000</v>
      </c>
      <c r="H87" s="468">
        <v>20000</v>
      </c>
      <c r="I87" s="468"/>
      <c r="J87" s="484"/>
      <c r="K87" s="484"/>
      <c r="L87" s="485"/>
      <c r="M87" s="484">
        <v>70000</v>
      </c>
      <c r="N87" s="484">
        <v>20000</v>
      </c>
      <c r="O87" s="470">
        <f t="shared" si="5"/>
        <v>20000</v>
      </c>
      <c r="P87" s="484"/>
      <c r="Q87" s="357"/>
    </row>
    <row r="88" spans="1:17" s="119" customFormat="1" ht="45">
      <c r="A88" s="173"/>
      <c r="B88" s="174"/>
      <c r="C88" s="170" t="s">
        <v>865</v>
      </c>
      <c r="D88" s="459"/>
      <c r="E88" s="468"/>
      <c r="F88" s="461">
        <f t="shared" si="6"/>
        <v>0</v>
      </c>
      <c r="G88" s="461"/>
      <c r="H88" s="468"/>
      <c r="I88" s="468"/>
      <c r="J88" s="484"/>
      <c r="K88" s="484"/>
      <c r="L88" s="485"/>
      <c r="M88" s="484">
        <v>60000</v>
      </c>
      <c r="N88" s="484">
        <v>60000</v>
      </c>
      <c r="O88" s="470">
        <f t="shared" si="5"/>
        <v>60000</v>
      </c>
      <c r="P88" s="484"/>
      <c r="Q88" s="626"/>
    </row>
    <row r="89" spans="1:17" s="119" customFormat="1" ht="16.5">
      <c r="A89" s="173"/>
      <c r="B89" s="174"/>
      <c r="C89" s="170" t="s">
        <v>866</v>
      </c>
      <c r="D89" s="459"/>
      <c r="E89" s="468"/>
      <c r="F89" s="461">
        <f t="shared" si="6"/>
        <v>0</v>
      </c>
      <c r="G89" s="461"/>
      <c r="H89" s="468"/>
      <c r="I89" s="468"/>
      <c r="J89" s="484"/>
      <c r="K89" s="484"/>
      <c r="L89" s="485"/>
      <c r="M89" s="484">
        <v>26000</v>
      </c>
      <c r="N89" s="484">
        <v>26000</v>
      </c>
      <c r="O89" s="470">
        <f t="shared" si="5"/>
        <v>26000</v>
      </c>
      <c r="P89" s="484"/>
      <c r="Q89" s="357"/>
    </row>
    <row r="90" spans="1:17" s="119" customFormat="1" ht="16.5">
      <c r="A90" s="173"/>
      <c r="B90" s="174"/>
      <c r="C90" s="170" t="s">
        <v>867</v>
      </c>
      <c r="D90" s="459"/>
      <c r="E90" s="468"/>
      <c r="F90" s="461">
        <f t="shared" si="6"/>
        <v>0</v>
      </c>
      <c r="G90" s="461"/>
      <c r="H90" s="468"/>
      <c r="I90" s="468"/>
      <c r="J90" s="484"/>
      <c r="K90" s="484"/>
      <c r="L90" s="485"/>
      <c r="M90" s="484">
        <v>30000</v>
      </c>
      <c r="N90" s="484">
        <v>15000</v>
      </c>
      <c r="O90" s="470">
        <f t="shared" si="5"/>
        <v>15000</v>
      </c>
      <c r="P90" s="484"/>
      <c r="Q90" s="357"/>
    </row>
    <row r="91" spans="1:17" s="119" customFormat="1" ht="16.5">
      <c r="A91" s="173"/>
      <c r="B91" s="174"/>
      <c r="C91" s="170" t="s">
        <v>868</v>
      </c>
      <c r="D91" s="459"/>
      <c r="E91" s="468"/>
      <c r="F91" s="461"/>
      <c r="G91" s="461"/>
      <c r="H91" s="468"/>
      <c r="I91" s="468"/>
      <c r="J91" s="484"/>
      <c r="K91" s="484"/>
      <c r="L91" s="485"/>
      <c r="M91" s="484">
        <v>15000</v>
      </c>
      <c r="N91" s="484">
        <v>15000</v>
      </c>
      <c r="O91" s="470">
        <f t="shared" si="5"/>
        <v>15000</v>
      </c>
      <c r="P91" s="484"/>
      <c r="Q91" s="357"/>
    </row>
    <row r="92" spans="1:17" s="119" customFormat="1" ht="16.5">
      <c r="A92" s="478">
        <v>3</v>
      </c>
      <c r="B92" s="479"/>
      <c r="C92" s="480" t="s">
        <v>210</v>
      </c>
      <c r="D92" s="486"/>
      <c r="E92" s="472">
        <f>(E93)</f>
        <v>10754085.709999999</v>
      </c>
      <c r="F92" s="464">
        <f t="shared" si="6"/>
        <v>9242015.709999999</v>
      </c>
      <c r="G92" s="472">
        <f>H92+I92</f>
        <v>8892085.709999999</v>
      </c>
      <c r="H92" s="472">
        <f>(H93)</f>
        <v>8422085.709999999</v>
      </c>
      <c r="I92" s="472">
        <f>(I93)</f>
        <v>470000</v>
      </c>
      <c r="J92" s="472">
        <f>(J93)</f>
        <v>349930</v>
      </c>
      <c r="K92" s="472"/>
      <c r="L92" s="471"/>
      <c r="M92" s="472">
        <f>(M93)</f>
        <v>10076403.272</v>
      </c>
      <c r="N92" s="472">
        <f>(N93)</f>
        <v>9759403.2719999999</v>
      </c>
      <c r="O92" s="466">
        <f t="shared" si="5"/>
        <v>9759403.2719999999</v>
      </c>
      <c r="P92" s="472"/>
      <c r="Q92" s="626"/>
    </row>
    <row r="93" spans="1:17" s="119" customFormat="1" ht="16.5">
      <c r="A93" s="171"/>
      <c r="B93" s="202">
        <v>1</v>
      </c>
      <c r="C93" s="169" t="s">
        <v>566</v>
      </c>
      <c r="D93" s="459"/>
      <c r="E93" s="472">
        <f>(E94+E101+E102)</f>
        <v>10754085.709999999</v>
      </c>
      <c r="F93" s="464">
        <f t="shared" si="6"/>
        <v>9242015.709999999</v>
      </c>
      <c r="G93" s="472">
        <f t="shared" ref="G93:G128" si="8">H93+I93</f>
        <v>8892085.709999999</v>
      </c>
      <c r="H93" s="472">
        <f>(H94+H101+H102)</f>
        <v>8422085.709999999</v>
      </c>
      <c r="I93" s="472">
        <f>(I94+I101+I102)</f>
        <v>470000</v>
      </c>
      <c r="J93" s="472">
        <f>(J94+J101+J102)</f>
        <v>349930</v>
      </c>
      <c r="K93" s="472"/>
      <c r="L93" s="471"/>
      <c r="M93" s="472">
        <f>(M94+M101+M102)</f>
        <v>10076403.272</v>
      </c>
      <c r="N93" s="472">
        <f>(N94+N101+N102)</f>
        <v>9759403.2719999999</v>
      </c>
      <c r="O93" s="466">
        <f t="shared" si="5"/>
        <v>9759403.2719999999</v>
      </c>
      <c r="P93" s="472"/>
      <c r="Q93" s="626"/>
    </row>
    <row r="94" spans="1:17" s="119" customFormat="1" ht="16.5">
      <c r="A94" s="171"/>
      <c r="B94" s="203"/>
      <c r="C94" s="204" t="s">
        <v>377</v>
      </c>
      <c r="D94" s="459"/>
      <c r="E94" s="472">
        <f>SUM(E95:E99)</f>
        <v>5437653.8999999994</v>
      </c>
      <c r="F94" s="464">
        <f t="shared" si="6"/>
        <v>5627583.8999999994</v>
      </c>
      <c r="G94" s="472">
        <f t="shared" si="8"/>
        <v>5437653.8999999994</v>
      </c>
      <c r="H94" s="472">
        <f>SUM(H95:H99)</f>
        <v>5437653.8999999994</v>
      </c>
      <c r="I94" s="472">
        <f>SUM(I95:I99)</f>
        <v>0</v>
      </c>
      <c r="J94" s="472">
        <f>SUM(J95:J99)</f>
        <v>189930</v>
      </c>
      <c r="K94" s="472"/>
      <c r="L94" s="471"/>
      <c r="M94" s="472">
        <f>SUM(M95:M100)</f>
        <v>5930214.5479999995</v>
      </c>
      <c r="N94" s="472">
        <f>SUM(N95:N100)</f>
        <v>5930214.5479999995</v>
      </c>
      <c r="O94" s="466">
        <f t="shared" si="5"/>
        <v>5930214.5479999995</v>
      </c>
      <c r="P94" s="472"/>
      <c r="Q94" s="626"/>
    </row>
    <row r="95" spans="1:17" s="441" customFormat="1" ht="16.5">
      <c r="A95" s="171"/>
      <c r="B95" s="172"/>
      <c r="C95" s="170" t="s">
        <v>780</v>
      </c>
      <c r="D95" s="487">
        <f>214.67+1.812+9.1+0.5+5.9+5.9+1.1</f>
        <v>238.982</v>
      </c>
      <c r="E95" s="488">
        <f>D95*1300*12</f>
        <v>3728119.1999999997</v>
      </c>
      <c r="F95" s="461">
        <f t="shared" si="6"/>
        <v>3918049.1999999997</v>
      </c>
      <c r="G95" s="484">
        <f t="shared" si="8"/>
        <v>3728119.1999999997</v>
      </c>
      <c r="H95" s="488">
        <f t="shared" ref="H95:H99" si="9">E95</f>
        <v>3728119.1999999997</v>
      </c>
      <c r="I95" s="488"/>
      <c r="J95" s="488">
        <v>189930</v>
      </c>
      <c r="K95" s="488"/>
      <c r="L95" s="489">
        <f>217.11+1.544+9.9+0.542+5.8+6.004+0.6+1.2+0.5229</f>
        <v>243.22290000000001</v>
      </c>
      <c r="M95" s="488">
        <f>L95*1390*12</f>
        <v>4056957.9720000001</v>
      </c>
      <c r="N95" s="488">
        <f t="shared" ref="N95:N98" si="10">M95</f>
        <v>4056957.9720000001</v>
      </c>
      <c r="O95" s="470">
        <f t="shared" si="5"/>
        <v>4056957.9720000001</v>
      </c>
      <c r="P95" s="488"/>
      <c r="Q95" s="627"/>
    </row>
    <row r="96" spans="1:17" s="441" customFormat="1" ht="16.5">
      <c r="A96" s="173"/>
      <c r="B96" s="201">
        <v>246.2</v>
      </c>
      <c r="C96" s="170" t="s">
        <v>211</v>
      </c>
      <c r="D96" s="487">
        <v>56.91</v>
      </c>
      <c r="E96" s="488">
        <f>D96*1300*12</f>
        <v>887796</v>
      </c>
      <c r="F96" s="461">
        <f t="shared" si="6"/>
        <v>887796</v>
      </c>
      <c r="G96" s="484">
        <f t="shared" si="8"/>
        <v>887796</v>
      </c>
      <c r="H96" s="488">
        <f t="shared" si="9"/>
        <v>887796</v>
      </c>
      <c r="I96" s="488"/>
      <c r="J96" s="488"/>
      <c r="K96" s="488"/>
      <c r="L96" s="489">
        <v>56.58</v>
      </c>
      <c r="M96" s="488">
        <f t="shared" ref="M96:M98" si="11">L96*1390*12</f>
        <v>943754.39999999991</v>
      </c>
      <c r="N96" s="488">
        <f t="shared" si="10"/>
        <v>943754.39999999991</v>
      </c>
      <c r="O96" s="470">
        <f t="shared" si="5"/>
        <v>943754.39999999991</v>
      </c>
      <c r="P96" s="488"/>
      <c r="Q96" s="628"/>
    </row>
    <row r="97" spans="1:18" ht="16.5">
      <c r="A97" s="173"/>
      <c r="B97" s="205">
        <f>232.9*25%</f>
        <v>58.225000000000001</v>
      </c>
      <c r="C97" s="170" t="s">
        <v>442</v>
      </c>
      <c r="D97" s="487">
        <f>(214.67+1.812+9.1+0.5)*22.5%</f>
        <v>50.868450000000003</v>
      </c>
      <c r="E97" s="488">
        <f>D97*1300*12</f>
        <v>793547.82000000007</v>
      </c>
      <c r="F97" s="461">
        <f t="shared" si="6"/>
        <v>793547.82000000007</v>
      </c>
      <c r="G97" s="484">
        <f t="shared" si="8"/>
        <v>793547.82000000007</v>
      </c>
      <c r="H97" s="488">
        <f t="shared" si="9"/>
        <v>793547.82000000007</v>
      </c>
      <c r="I97" s="488"/>
      <c r="J97" s="488"/>
      <c r="K97" s="488"/>
      <c r="L97" s="489">
        <f>(217.11+1.544+9.9+0.542)*22.5%</f>
        <v>51.546600000000005</v>
      </c>
      <c r="M97" s="488">
        <f t="shared" si="11"/>
        <v>859797.28800000006</v>
      </c>
      <c r="N97" s="488">
        <f t="shared" si="10"/>
        <v>859797.28800000006</v>
      </c>
      <c r="O97" s="470">
        <f t="shared" si="5"/>
        <v>859797.28800000006</v>
      </c>
      <c r="P97" s="488"/>
      <c r="Q97" s="629"/>
    </row>
    <row r="98" spans="1:18" ht="16.5">
      <c r="A98" s="173"/>
      <c r="B98" s="205"/>
      <c r="C98" s="170" t="s">
        <v>182</v>
      </c>
      <c r="D98" s="487">
        <f>(9.38+2.1)*1%</f>
        <v>0.11480000000000001</v>
      </c>
      <c r="E98" s="488">
        <f>D98*1300*12</f>
        <v>1790.88</v>
      </c>
      <c r="F98" s="461">
        <f t="shared" si="6"/>
        <v>1790.88</v>
      </c>
      <c r="G98" s="484">
        <f t="shared" si="8"/>
        <v>1790.88</v>
      </c>
      <c r="H98" s="488">
        <f t="shared" si="9"/>
        <v>1790.88</v>
      </c>
      <c r="I98" s="488"/>
      <c r="J98" s="488"/>
      <c r="K98" s="488"/>
      <c r="L98" s="489">
        <f>11.66*1%</f>
        <v>0.11660000000000001</v>
      </c>
      <c r="M98" s="488">
        <f t="shared" si="11"/>
        <v>1944.8880000000001</v>
      </c>
      <c r="N98" s="488">
        <f t="shared" si="10"/>
        <v>1944.8880000000001</v>
      </c>
      <c r="O98" s="470">
        <f t="shared" si="5"/>
        <v>1944.8880000000001</v>
      </c>
      <c r="P98" s="488"/>
      <c r="Q98" s="622"/>
    </row>
    <row r="99" spans="1:18" ht="16.5">
      <c r="A99" s="173"/>
      <c r="B99" s="205"/>
      <c r="C99" s="170" t="s">
        <v>869</v>
      </c>
      <c r="D99" s="487"/>
      <c r="E99" s="488">
        <f>2200*12</f>
        <v>26400</v>
      </c>
      <c r="F99" s="461">
        <f t="shared" si="6"/>
        <v>26400</v>
      </c>
      <c r="G99" s="484">
        <f t="shared" si="8"/>
        <v>26400</v>
      </c>
      <c r="H99" s="488">
        <f t="shared" si="9"/>
        <v>26400</v>
      </c>
      <c r="I99" s="488"/>
      <c r="J99" s="488"/>
      <c r="K99" s="488"/>
      <c r="L99" s="490"/>
      <c r="M99" s="488">
        <f>2640*12*2</f>
        <v>63360</v>
      </c>
      <c r="N99" s="488">
        <f>M99</f>
        <v>63360</v>
      </c>
      <c r="O99" s="470">
        <f t="shared" si="5"/>
        <v>63360</v>
      </c>
      <c r="P99" s="488"/>
      <c r="Q99" s="622"/>
    </row>
    <row r="100" spans="1:18" ht="30">
      <c r="A100" s="173"/>
      <c r="B100" s="205"/>
      <c r="C100" s="170" t="s">
        <v>870</v>
      </c>
      <c r="D100" s="487"/>
      <c r="E100" s="488"/>
      <c r="F100" s="461"/>
      <c r="G100" s="484"/>
      <c r="H100" s="488"/>
      <c r="I100" s="488"/>
      <c r="J100" s="488"/>
      <c r="K100" s="488"/>
      <c r="L100" s="490"/>
      <c r="M100" s="488">
        <v>4400</v>
      </c>
      <c r="N100" s="488">
        <v>4400</v>
      </c>
      <c r="O100" s="470">
        <f t="shared" si="5"/>
        <v>4400</v>
      </c>
      <c r="P100" s="488"/>
      <c r="Q100" s="622"/>
    </row>
    <row r="101" spans="1:18" ht="16.5">
      <c r="A101" s="173"/>
      <c r="B101" s="206">
        <f>233.2*22%</f>
        <v>51.303999999999995</v>
      </c>
      <c r="C101" s="169" t="s">
        <v>5</v>
      </c>
      <c r="D101" s="490"/>
      <c r="E101" s="491">
        <f>(D95+D97+D98)*1210*12*25/75</f>
        <v>1403431.81</v>
      </c>
      <c r="F101" s="464">
        <f t="shared" si="6"/>
        <v>1403431.81</v>
      </c>
      <c r="G101" s="472">
        <f>H101+I101</f>
        <v>1403431.81</v>
      </c>
      <c r="H101" s="491">
        <f>E101</f>
        <v>1403431.81</v>
      </c>
      <c r="I101" s="491"/>
      <c r="J101" s="491"/>
      <c r="K101" s="491"/>
      <c r="L101" s="492"/>
      <c r="M101" s="491">
        <f>(L95+L97+L98)*1210*25/75*12</f>
        <v>1427248.7239999999</v>
      </c>
      <c r="N101" s="491">
        <f>M101</f>
        <v>1427248.7239999999</v>
      </c>
      <c r="O101" s="466">
        <f t="shared" si="5"/>
        <v>1427248.7239999999</v>
      </c>
      <c r="P101" s="491"/>
      <c r="Q101" s="622"/>
    </row>
    <row r="102" spans="1:18" ht="16.5">
      <c r="A102" s="173"/>
      <c r="B102" s="174"/>
      <c r="C102" s="169" t="s">
        <v>380</v>
      </c>
      <c r="D102" s="471">
        <f>SUM(D103:D125)</f>
        <v>0</v>
      </c>
      <c r="E102" s="472">
        <f>SUM(E103:E126)</f>
        <v>3913000</v>
      </c>
      <c r="F102" s="464">
        <f t="shared" si="6"/>
        <v>2211000</v>
      </c>
      <c r="G102" s="472">
        <f>H102+I102</f>
        <v>2051000</v>
      </c>
      <c r="H102" s="472">
        <f>SUM(H103:H126)</f>
        <v>1581000</v>
      </c>
      <c r="I102" s="472">
        <f>SUM(I103:I131)</f>
        <v>470000</v>
      </c>
      <c r="J102" s="472">
        <f>SUM(J103:J131)</f>
        <v>160000</v>
      </c>
      <c r="K102" s="472"/>
      <c r="L102" s="471"/>
      <c r="M102" s="472">
        <f>SUM(M103:M133)</f>
        <v>2718940</v>
      </c>
      <c r="N102" s="472">
        <f>SUM(N103:N133)</f>
        <v>2401940</v>
      </c>
      <c r="O102" s="466">
        <f t="shared" si="5"/>
        <v>2401940</v>
      </c>
      <c r="P102" s="472"/>
      <c r="Q102" s="630"/>
      <c r="R102" s="317">
        <f>SUM(R103:R126)</f>
        <v>0</v>
      </c>
    </row>
    <row r="103" spans="1:18" ht="45">
      <c r="A103" s="173"/>
      <c r="B103" s="174"/>
      <c r="C103" s="170" t="s">
        <v>871</v>
      </c>
      <c r="D103" s="490"/>
      <c r="E103" s="488">
        <v>70500</v>
      </c>
      <c r="F103" s="461">
        <f t="shared" si="6"/>
        <v>70500</v>
      </c>
      <c r="G103" s="484">
        <f t="shared" si="8"/>
        <v>70500</v>
      </c>
      <c r="H103" s="488">
        <f>E103</f>
        <v>70500</v>
      </c>
      <c r="I103" s="488"/>
      <c r="J103" s="488"/>
      <c r="K103" s="488"/>
      <c r="L103" s="490"/>
      <c r="M103" s="488">
        <f>10000+7000+6000+5000+9000+32000+2000</f>
        <v>71000</v>
      </c>
      <c r="N103" s="488">
        <v>71000</v>
      </c>
      <c r="O103" s="470">
        <f t="shared" si="5"/>
        <v>71000</v>
      </c>
      <c r="P103" s="488"/>
      <c r="Q103" s="622"/>
    </row>
    <row r="104" spans="1:18" ht="16.5">
      <c r="A104" s="173"/>
      <c r="B104" s="174"/>
      <c r="C104" s="170" t="s">
        <v>872</v>
      </c>
      <c r="D104" s="490"/>
      <c r="E104" s="488">
        <v>7500</v>
      </c>
      <c r="F104" s="461">
        <f t="shared" si="6"/>
        <v>7500</v>
      </c>
      <c r="G104" s="484">
        <f t="shared" si="8"/>
        <v>7500</v>
      </c>
      <c r="H104" s="488">
        <f>E104</f>
        <v>7500</v>
      </c>
      <c r="I104" s="488"/>
      <c r="J104" s="488"/>
      <c r="K104" s="488"/>
      <c r="L104" s="490"/>
      <c r="M104" s="488">
        <v>7500</v>
      </c>
      <c r="N104" s="488">
        <v>7500</v>
      </c>
      <c r="O104" s="470">
        <f t="shared" si="5"/>
        <v>7500</v>
      </c>
      <c r="P104" s="488"/>
      <c r="Q104" s="622"/>
    </row>
    <row r="105" spans="1:18" ht="30">
      <c r="A105" s="173"/>
      <c r="B105" s="174"/>
      <c r="C105" s="170" t="s">
        <v>701</v>
      </c>
      <c r="D105" s="490"/>
      <c r="E105" s="488">
        <f>14*300*5</f>
        <v>21000</v>
      </c>
      <c r="F105" s="461">
        <f t="shared" si="6"/>
        <v>21000</v>
      </c>
      <c r="G105" s="484">
        <f t="shared" si="8"/>
        <v>21000</v>
      </c>
      <c r="H105" s="488">
        <f>E105</f>
        <v>21000</v>
      </c>
      <c r="I105" s="488"/>
      <c r="J105" s="488"/>
      <c r="K105" s="488"/>
      <c r="L105" s="490"/>
      <c r="M105" s="488">
        <f>14*300*5</f>
        <v>21000</v>
      </c>
      <c r="N105" s="488">
        <v>21000</v>
      </c>
      <c r="O105" s="470">
        <f t="shared" si="5"/>
        <v>21000</v>
      </c>
      <c r="P105" s="488"/>
      <c r="Q105" s="622"/>
    </row>
    <row r="106" spans="1:18" ht="16.5">
      <c r="A106" s="173"/>
      <c r="B106" s="174"/>
      <c r="C106" s="170" t="s">
        <v>399</v>
      </c>
      <c r="D106" s="490"/>
      <c r="E106" s="488">
        <v>28000</v>
      </c>
      <c r="F106" s="461">
        <f t="shared" si="6"/>
        <v>28000</v>
      </c>
      <c r="G106" s="484">
        <f t="shared" si="8"/>
        <v>28000</v>
      </c>
      <c r="H106" s="488">
        <v>28000</v>
      </c>
      <c r="I106" s="488"/>
      <c r="J106" s="488"/>
      <c r="K106" s="488"/>
      <c r="L106" s="490"/>
      <c r="M106" s="488">
        <f>14*2000</f>
        <v>28000</v>
      </c>
      <c r="N106" s="488">
        <v>28000</v>
      </c>
      <c r="O106" s="470">
        <f t="shared" si="5"/>
        <v>28000</v>
      </c>
      <c r="P106" s="488"/>
      <c r="Q106" s="622"/>
    </row>
    <row r="107" spans="1:18" ht="16.5">
      <c r="A107" s="173"/>
      <c r="B107" s="174"/>
      <c r="C107" s="170" t="s">
        <v>337</v>
      </c>
      <c r="D107" s="490"/>
      <c r="E107" s="488">
        <v>72000</v>
      </c>
      <c r="F107" s="461">
        <f t="shared" si="6"/>
        <v>72000</v>
      </c>
      <c r="G107" s="484">
        <f t="shared" si="8"/>
        <v>72000</v>
      </c>
      <c r="H107" s="488">
        <f>E107</f>
        <v>72000</v>
      </c>
      <c r="I107" s="488"/>
      <c r="J107" s="488"/>
      <c r="K107" s="488"/>
      <c r="L107" s="490"/>
      <c r="M107" s="488">
        <f>3*2000*12</f>
        <v>72000</v>
      </c>
      <c r="N107" s="488">
        <v>72000</v>
      </c>
      <c r="O107" s="470">
        <f t="shared" si="5"/>
        <v>72000</v>
      </c>
      <c r="P107" s="488"/>
      <c r="Q107" s="622"/>
    </row>
    <row r="108" spans="1:18" ht="16.5">
      <c r="A108" s="173"/>
      <c r="B108" s="174"/>
      <c r="C108" s="170" t="s">
        <v>745</v>
      </c>
      <c r="D108" s="490"/>
      <c r="E108" s="488">
        <v>12000</v>
      </c>
      <c r="F108" s="461">
        <f t="shared" si="6"/>
        <v>12000</v>
      </c>
      <c r="G108" s="484">
        <f t="shared" si="8"/>
        <v>12000</v>
      </c>
      <c r="H108" s="488">
        <v>12000</v>
      </c>
      <c r="I108" s="488"/>
      <c r="J108" s="488"/>
      <c r="K108" s="488"/>
      <c r="L108" s="490"/>
      <c r="M108" s="488">
        <v>12000</v>
      </c>
      <c r="N108" s="488">
        <v>12000</v>
      </c>
      <c r="O108" s="470">
        <f t="shared" si="5"/>
        <v>12000</v>
      </c>
      <c r="P108" s="488"/>
      <c r="Q108" s="622"/>
    </row>
    <row r="109" spans="1:18" ht="30">
      <c r="A109" s="173"/>
      <c r="B109" s="174"/>
      <c r="C109" s="170" t="s">
        <v>873</v>
      </c>
      <c r="D109" s="490"/>
      <c r="E109" s="488">
        <v>700000</v>
      </c>
      <c r="F109" s="461">
        <f t="shared" si="6"/>
        <v>200000</v>
      </c>
      <c r="G109" s="493">
        <f>H109+I109</f>
        <v>200000</v>
      </c>
      <c r="H109" s="488">
        <v>200000</v>
      </c>
      <c r="I109" s="488"/>
      <c r="J109" s="488"/>
      <c r="K109" s="488"/>
      <c r="L109" s="490"/>
      <c r="M109" s="488">
        <v>500000</v>
      </c>
      <c r="N109" s="488">
        <v>200000</v>
      </c>
      <c r="O109" s="470">
        <f t="shared" si="5"/>
        <v>200000</v>
      </c>
      <c r="P109" s="488"/>
      <c r="Q109" s="622"/>
    </row>
    <row r="110" spans="1:18" ht="16.5">
      <c r="A110" s="173"/>
      <c r="B110" s="174"/>
      <c r="C110" s="170" t="s">
        <v>458</v>
      </c>
      <c r="D110" s="490"/>
      <c r="E110" s="488">
        <v>100000</v>
      </c>
      <c r="F110" s="461">
        <f t="shared" si="6"/>
        <v>100000</v>
      </c>
      <c r="G110" s="484">
        <f t="shared" si="8"/>
        <v>100000</v>
      </c>
      <c r="H110" s="488">
        <v>50000</v>
      </c>
      <c r="I110" s="488">
        <v>50000</v>
      </c>
      <c r="J110" s="488"/>
      <c r="K110" s="488"/>
      <c r="L110" s="490"/>
      <c r="M110" s="488">
        <v>100000</v>
      </c>
      <c r="N110" s="488">
        <v>100000</v>
      </c>
      <c r="O110" s="470">
        <f t="shared" si="5"/>
        <v>100000</v>
      </c>
      <c r="P110" s="488"/>
      <c r="Q110" s="622"/>
    </row>
    <row r="111" spans="1:18" ht="16.5">
      <c r="A111" s="173"/>
      <c r="B111" s="174"/>
      <c r="C111" s="170" t="s">
        <v>874</v>
      </c>
      <c r="D111" s="490"/>
      <c r="E111" s="488">
        <v>48000</v>
      </c>
      <c r="F111" s="461">
        <f t="shared" si="6"/>
        <v>48000</v>
      </c>
      <c r="G111" s="484">
        <f t="shared" si="8"/>
        <v>48000</v>
      </c>
      <c r="H111" s="488">
        <v>48000</v>
      </c>
      <c r="I111" s="488"/>
      <c r="J111" s="488"/>
      <c r="K111" s="488"/>
      <c r="L111" s="490"/>
      <c r="M111" s="488">
        <f>2*3000*12</f>
        <v>72000</v>
      </c>
      <c r="N111" s="488">
        <v>72000</v>
      </c>
      <c r="O111" s="470">
        <f t="shared" si="5"/>
        <v>72000</v>
      </c>
      <c r="P111" s="488"/>
      <c r="Q111" s="622"/>
    </row>
    <row r="112" spans="1:18" ht="16.5">
      <c r="A112" s="173"/>
      <c r="B112" s="174"/>
      <c r="C112" s="170" t="s">
        <v>459</v>
      </c>
      <c r="D112" s="490"/>
      <c r="E112" s="488">
        <v>700000</v>
      </c>
      <c r="F112" s="461">
        <f t="shared" si="6"/>
        <v>300000</v>
      </c>
      <c r="G112" s="484">
        <f>H112+I112</f>
        <v>300000</v>
      </c>
      <c r="H112" s="488">
        <v>150000</v>
      </c>
      <c r="I112" s="488">
        <v>150000</v>
      </c>
      <c r="J112" s="488"/>
      <c r="K112" s="488"/>
      <c r="L112" s="490"/>
      <c r="M112" s="488">
        <v>300000</v>
      </c>
      <c r="N112" s="488">
        <v>300000</v>
      </c>
      <c r="O112" s="470">
        <f t="shared" si="5"/>
        <v>300000</v>
      </c>
      <c r="P112" s="488"/>
      <c r="Q112" s="622"/>
    </row>
    <row r="113" spans="1:17" ht="16.5">
      <c r="A113" s="173"/>
      <c r="B113" s="174"/>
      <c r="C113" s="170" t="s">
        <v>875</v>
      </c>
      <c r="D113" s="490"/>
      <c r="E113" s="488">
        <v>70000</v>
      </c>
      <c r="F113" s="461">
        <f t="shared" si="6"/>
        <v>70000</v>
      </c>
      <c r="G113" s="484">
        <f t="shared" si="8"/>
        <v>70000</v>
      </c>
      <c r="H113" s="488">
        <v>70000</v>
      </c>
      <c r="I113" s="488"/>
      <c r="J113" s="488"/>
      <c r="K113" s="488"/>
      <c r="L113" s="490"/>
      <c r="M113" s="488">
        <v>70000</v>
      </c>
      <c r="N113" s="488">
        <v>70000</v>
      </c>
      <c r="O113" s="470">
        <f t="shared" si="5"/>
        <v>70000</v>
      </c>
      <c r="P113" s="488"/>
      <c r="Q113" s="622"/>
    </row>
    <row r="114" spans="1:17" ht="16.5">
      <c r="A114" s="173"/>
      <c r="B114" s="174"/>
      <c r="C114" s="170" t="s">
        <v>725</v>
      </c>
      <c r="D114" s="490"/>
      <c r="E114" s="488">
        <v>750000</v>
      </c>
      <c r="F114" s="461">
        <f t="shared" si="6"/>
        <v>360000</v>
      </c>
      <c r="G114" s="484">
        <f t="shared" si="8"/>
        <v>200000</v>
      </c>
      <c r="H114" s="488">
        <v>100000</v>
      </c>
      <c r="I114" s="488">
        <v>100000</v>
      </c>
      <c r="J114" s="488">
        <v>160000</v>
      </c>
      <c r="K114" s="488"/>
      <c r="L114" s="490"/>
      <c r="M114" s="488">
        <v>200000</v>
      </c>
      <c r="N114" s="488">
        <v>200000</v>
      </c>
      <c r="O114" s="470">
        <f t="shared" si="5"/>
        <v>200000</v>
      </c>
      <c r="P114" s="488"/>
      <c r="Q114" s="622"/>
    </row>
    <row r="115" spans="1:17" ht="16.5">
      <c r="A115" s="173"/>
      <c r="B115" s="175"/>
      <c r="C115" s="170" t="s">
        <v>876</v>
      </c>
      <c r="D115" s="490"/>
      <c r="E115" s="488">
        <f>22000*12</f>
        <v>264000</v>
      </c>
      <c r="F115" s="461">
        <f t="shared" si="6"/>
        <v>252000</v>
      </c>
      <c r="G115" s="484">
        <f t="shared" si="8"/>
        <v>252000</v>
      </c>
      <c r="H115" s="488">
        <v>252000</v>
      </c>
      <c r="I115" s="488"/>
      <c r="J115" s="488"/>
      <c r="K115" s="488"/>
      <c r="L115" s="490"/>
      <c r="M115" s="488">
        <f>23800*12</f>
        <v>285600</v>
      </c>
      <c r="N115" s="488">
        <v>285600</v>
      </c>
      <c r="O115" s="470">
        <f t="shared" si="5"/>
        <v>285600</v>
      </c>
      <c r="P115" s="488"/>
      <c r="Q115" s="622" t="s">
        <v>877</v>
      </c>
    </row>
    <row r="116" spans="1:17" ht="16.5">
      <c r="A116" s="173"/>
      <c r="B116" s="175"/>
      <c r="C116" s="170" t="s">
        <v>178</v>
      </c>
      <c r="D116" s="490"/>
      <c r="E116" s="488">
        <v>70000</v>
      </c>
      <c r="F116" s="461">
        <f t="shared" si="6"/>
        <v>70000</v>
      </c>
      <c r="G116" s="484">
        <f t="shared" si="8"/>
        <v>70000</v>
      </c>
      <c r="H116" s="488">
        <v>70000</v>
      </c>
      <c r="I116" s="488"/>
      <c r="J116" s="488"/>
      <c r="K116" s="488"/>
      <c r="L116" s="490"/>
      <c r="M116" s="488">
        <v>70000</v>
      </c>
      <c r="N116" s="488">
        <v>70000</v>
      </c>
      <c r="O116" s="470">
        <f t="shared" si="5"/>
        <v>70000</v>
      </c>
      <c r="P116" s="488"/>
      <c r="Q116" s="622"/>
    </row>
    <row r="117" spans="1:17" ht="16.5">
      <c r="A117" s="173"/>
      <c r="B117" s="175"/>
      <c r="C117" s="170" t="s">
        <v>157</v>
      </c>
      <c r="D117" s="490"/>
      <c r="E117" s="488">
        <v>50000</v>
      </c>
      <c r="F117" s="461">
        <f t="shared" si="6"/>
        <v>50000</v>
      </c>
      <c r="G117" s="484">
        <f t="shared" si="8"/>
        <v>50000</v>
      </c>
      <c r="H117" s="488">
        <v>50000</v>
      </c>
      <c r="I117" s="488"/>
      <c r="J117" s="488"/>
      <c r="K117" s="488"/>
      <c r="L117" s="490"/>
      <c r="M117" s="494">
        <v>100000</v>
      </c>
      <c r="N117" s="494">
        <v>100000</v>
      </c>
      <c r="O117" s="470">
        <f t="shared" si="5"/>
        <v>100000</v>
      </c>
      <c r="P117" s="494"/>
      <c r="Q117" s="631"/>
    </row>
    <row r="118" spans="1:17" ht="16.5">
      <c r="A118" s="173"/>
      <c r="B118" s="175"/>
      <c r="C118" s="170" t="s">
        <v>726</v>
      </c>
      <c r="D118" s="490"/>
      <c r="E118" s="488">
        <v>700000</v>
      </c>
      <c r="F118" s="461">
        <f t="shared" si="6"/>
        <v>300000</v>
      </c>
      <c r="G118" s="484">
        <f t="shared" si="8"/>
        <v>300000</v>
      </c>
      <c r="H118" s="488">
        <v>150000</v>
      </c>
      <c r="I118" s="488">
        <v>150000</v>
      </c>
      <c r="J118" s="488"/>
      <c r="K118" s="488"/>
      <c r="L118" s="490"/>
      <c r="M118" s="488">
        <v>300000</v>
      </c>
      <c r="N118" s="488">
        <v>300000</v>
      </c>
      <c r="O118" s="470">
        <f t="shared" si="5"/>
        <v>300000</v>
      </c>
      <c r="P118" s="488"/>
      <c r="Q118" s="622"/>
    </row>
    <row r="119" spans="1:17" ht="16.5">
      <c r="A119" s="173"/>
      <c r="B119" s="175"/>
      <c r="C119" s="170" t="s">
        <v>426</v>
      </c>
      <c r="D119" s="490"/>
      <c r="E119" s="488">
        <v>60000</v>
      </c>
      <c r="F119" s="461">
        <f t="shared" si="6"/>
        <v>60000</v>
      </c>
      <c r="G119" s="484">
        <f t="shared" si="8"/>
        <v>60000</v>
      </c>
      <c r="H119" s="488">
        <v>60000</v>
      </c>
      <c r="I119" s="488"/>
      <c r="J119" s="488"/>
      <c r="K119" s="488"/>
      <c r="L119" s="490"/>
      <c r="M119" s="488">
        <v>80000</v>
      </c>
      <c r="N119" s="488">
        <v>80000</v>
      </c>
      <c r="O119" s="470">
        <f t="shared" si="5"/>
        <v>80000</v>
      </c>
      <c r="P119" s="488"/>
      <c r="Q119" s="622"/>
    </row>
    <row r="120" spans="1:17" ht="16.5">
      <c r="A120" s="173"/>
      <c r="B120" s="175"/>
      <c r="C120" s="170" t="s">
        <v>427</v>
      </c>
      <c r="D120" s="490"/>
      <c r="E120" s="488">
        <v>40000</v>
      </c>
      <c r="F120" s="461">
        <f t="shared" si="6"/>
        <v>40000</v>
      </c>
      <c r="G120" s="484">
        <f t="shared" si="8"/>
        <v>40000</v>
      </c>
      <c r="H120" s="488">
        <v>20000</v>
      </c>
      <c r="I120" s="488">
        <v>20000</v>
      </c>
      <c r="J120" s="488"/>
      <c r="K120" s="488"/>
      <c r="L120" s="490"/>
      <c r="M120" s="488">
        <v>50000</v>
      </c>
      <c r="N120" s="488">
        <v>45000</v>
      </c>
      <c r="O120" s="470">
        <f t="shared" si="5"/>
        <v>45000</v>
      </c>
      <c r="P120" s="488"/>
      <c r="Q120" s="622" t="s">
        <v>878</v>
      </c>
    </row>
    <row r="121" spans="1:17" ht="33.75" customHeight="1">
      <c r="A121" s="173"/>
      <c r="B121" s="175"/>
      <c r="C121" s="170" t="s">
        <v>879</v>
      </c>
      <c r="D121" s="490"/>
      <c r="E121" s="488">
        <v>15000</v>
      </c>
      <c r="F121" s="461">
        <f t="shared" si="6"/>
        <v>15000</v>
      </c>
      <c r="G121" s="484">
        <f t="shared" si="8"/>
        <v>15000</v>
      </c>
      <c r="H121" s="488">
        <v>15000</v>
      </c>
      <c r="I121" s="488"/>
      <c r="J121" s="488"/>
      <c r="K121" s="488"/>
      <c r="L121" s="490"/>
      <c r="M121" s="488">
        <v>25000</v>
      </c>
      <c r="N121" s="488">
        <v>25000</v>
      </c>
      <c r="O121" s="470">
        <f t="shared" si="5"/>
        <v>25000</v>
      </c>
      <c r="P121" s="488"/>
      <c r="Q121" s="632" t="s">
        <v>1185</v>
      </c>
    </row>
    <row r="122" spans="1:17" ht="16.5">
      <c r="A122" s="173"/>
      <c r="B122" s="175"/>
      <c r="C122" s="170" t="s">
        <v>400</v>
      </c>
      <c r="D122" s="490"/>
      <c r="E122" s="488">
        <v>35000</v>
      </c>
      <c r="F122" s="461">
        <f t="shared" si="6"/>
        <v>35000</v>
      </c>
      <c r="G122" s="484">
        <f t="shared" si="8"/>
        <v>35000</v>
      </c>
      <c r="H122" s="488">
        <v>35000</v>
      </c>
      <c r="I122" s="488"/>
      <c r="J122" s="488"/>
      <c r="K122" s="488"/>
      <c r="L122" s="490"/>
      <c r="M122" s="488">
        <v>38000</v>
      </c>
      <c r="N122" s="488">
        <v>35000</v>
      </c>
      <c r="O122" s="470">
        <f t="shared" si="5"/>
        <v>35000</v>
      </c>
      <c r="P122" s="488"/>
      <c r="Q122" s="622"/>
    </row>
    <row r="123" spans="1:17" ht="16.5">
      <c r="A123" s="173"/>
      <c r="B123" s="175"/>
      <c r="C123" s="170" t="s">
        <v>636</v>
      </c>
      <c r="D123" s="490"/>
      <c r="E123" s="488">
        <v>10000</v>
      </c>
      <c r="F123" s="461">
        <f t="shared" si="6"/>
        <v>10000</v>
      </c>
      <c r="G123" s="484">
        <f t="shared" si="8"/>
        <v>10000</v>
      </c>
      <c r="H123" s="488">
        <v>10000</v>
      </c>
      <c r="I123" s="488"/>
      <c r="J123" s="488"/>
      <c r="K123" s="488"/>
      <c r="L123" s="490"/>
      <c r="M123" s="488">
        <v>15000</v>
      </c>
      <c r="N123" s="488">
        <v>10000</v>
      </c>
      <c r="O123" s="470">
        <f t="shared" si="5"/>
        <v>10000</v>
      </c>
      <c r="P123" s="488"/>
      <c r="Q123" s="622"/>
    </row>
    <row r="124" spans="1:17" ht="16.5">
      <c r="A124" s="173"/>
      <c r="B124" s="175"/>
      <c r="C124" s="177" t="s">
        <v>52</v>
      </c>
      <c r="D124" s="490"/>
      <c r="E124" s="488">
        <v>15000</v>
      </c>
      <c r="F124" s="461">
        <f t="shared" si="6"/>
        <v>15000</v>
      </c>
      <c r="G124" s="484">
        <f t="shared" si="8"/>
        <v>15000</v>
      </c>
      <c r="H124" s="488">
        <v>15000</v>
      </c>
      <c r="I124" s="488"/>
      <c r="J124" s="488"/>
      <c r="K124" s="488"/>
      <c r="L124" s="490"/>
      <c r="M124" s="488">
        <v>15000</v>
      </c>
      <c r="N124" s="488">
        <v>15000</v>
      </c>
      <c r="O124" s="470">
        <f t="shared" si="5"/>
        <v>15000</v>
      </c>
      <c r="P124" s="488"/>
      <c r="Q124" s="622"/>
    </row>
    <row r="125" spans="1:17" ht="16.5">
      <c r="A125" s="173"/>
      <c r="B125" s="175"/>
      <c r="C125" s="177" t="s">
        <v>758</v>
      </c>
      <c r="D125" s="490"/>
      <c r="E125" s="488">
        <v>65000</v>
      </c>
      <c r="F125" s="461">
        <f t="shared" si="6"/>
        <v>65000</v>
      </c>
      <c r="G125" s="484">
        <f t="shared" si="8"/>
        <v>65000</v>
      </c>
      <c r="H125" s="488">
        <v>65000</v>
      </c>
      <c r="I125" s="488"/>
      <c r="J125" s="488"/>
      <c r="K125" s="488"/>
      <c r="L125" s="490"/>
      <c r="M125" s="488">
        <v>65000</v>
      </c>
      <c r="N125" s="488">
        <v>65000</v>
      </c>
      <c r="O125" s="470">
        <f t="shared" si="5"/>
        <v>65000</v>
      </c>
      <c r="P125" s="488"/>
      <c r="Q125" s="622"/>
    </row>
    <row r="126" spans="1:17" ht="16.5">
      <c r="A126" s="173"/>
      <c r="B126" s="175"/>
      <c r="C126" s="177" t="s">
        <v>702</v>
      </c>
      <c r="D126" s="490"/>
      <c r="E126" s="488">
        <v>10000</v>
      </c>
      <c r="F126" s="461">
        <f t="shared" si="6"/>
        <v>10000</v>
      </c>
      <c r="G126" s="484">
        <f t="shared" si="8"/>
        <v>10000</v>
      </c>
      <c r="H126" s="488">
        <v>10000</v>
      </c>
      <c r="I126" s="488"/>
      <c r="J126" s="488"/>
      <c r="K126" s="488"/>
      <c r="L126" s="490"/>
      <c r="M126" s="488">
        <v>5000</v>
      </c>
      <c r="N126" s="488">
        <v>5000</v>
      </c>
      <c r="O126" s="470">
        <f t="shared" si="5"/>
        <v>5000</v>
      </c>
      <c r="P126" s="488"/>
      <c r="Q126" s="622"/>
    </row>
    <row r="127" spans="1:17" ht="30">
      <c r="A127" s="173"/>
      <c r="B127" s="175"/>
      <c r="C127" s="170" t="s">
        <v>369</v>
      </c>
      <c r="D127" s="490"/>
      <c r="E127" s="488">
        <v>15840</v>
      </c>
      <c r="F127" s="461">
        <f t="shared" si="6"/>
        <v>15840</v>
      </c>
      <c r="G127" s="484">
        <f t="shared" si="8"/>
        <v>15840</v>
      </c>
      <c r="H127" s="488">
        <v>15840</v>
      </c>
      <c r="I127" s="488"/>
      <c r="J127" s="488"/>
      <c r="K127" s="488"/>
      <c r="L127" s="490"/>
      <c r="M127" s="488">
        <v>15840</v>
      </c>
      <c r="N127" s="488">
        <v>15840</v>
      </c>
      <c r="O127" s="470">
        <f t="shared" si="5"/>
        <v>15840</v>
      </c>
      <c r="P127" s="488"/>
      <c r="Q127" s="622"/>
    </row>
    <row r="128" spans="1:17" ht="16.5">
      <c r="A128" s="173"/>
      <c r="B128" s="175"/>
      <c r="C128" s="170" t="s">
        <v>240</v>
      </c>
      <c r="D128" s="490"/>
      <c r="E128" s="488">
        <v>16000</v>
      </c>
      <c r="F128" s="461">
        <f t="shared" si="6"/>
        <v>16000</v>
      </c>
      <c r="G128" s="484">
        <f t="shared" si="8"/>
        <v>16000</v>
      </c>
      <c r="H128" s="488">
        <v>16000</v>
      </c>
      <c r="I128" s="488"/>
      <c r="J128" s="488"/>
      <c r="K128" s="488"/>
      <c r="L128" s="490"/>
      <c r="M128" s="488">
        <v>20000</v>
      </c>
      <c r="N128" s="488">
        <v>16000</v>
      </c>
      <c r="O128" s="470">
        <f t="shared" si="5"/>
        <v>16000</v>
      </c>
      <c r="P128" s="488"/>
      <c r="Q128" s="622"/>
    </row>
    <row r="129" spans="1:17" ht="105">
      <c r="A129" s="173"/>
      <c r="B129" s="175"/>
      <c r="C129" s="170" t="s">
        <v>880</v>
      </c>
      <c r="D129" s="490"/>
      <c r="E129" s="488"/>
      <c r="F129" s="461">
        <f t="shared" si="6"/>
        <v>0</v>
      </c>
      <c r="G129" s="484"/>
      <c r="H129" s="488"/>
      <c r="I129" s="488"/>
      <c r="J129" s="488"/>
      <c r="K129" s="488"/>
      <c r="L129" s="490"/>
      <c r="M129" s="488">
        <v>50000</v>
      </c>
      <c r="N129" s="488">
        <v>50000</v>
      </c>
      <c r="O129" s="470">
        <f t="shared" si="5"/>
        <v>50000</v>
      </c>
      <c r="P129" s="488"/>
      <c r="Q129" s="357" t="s">
        <v>881</v>
      </c>
    </row>
    <row r="130" spans="1:17" ht="16.5">
      <c r="A130" s="173"/>
      <c r="B130" s="175"/>
      <c r="C130" s="170" t="s">
        <v>882</v>
      </c>
      <c r="D130" s="490"/>
      <c r="E130" s="488"/>
      <c r="F130" s="461">
        <f t="shared" si="6"/>
        <v>0</v>
      </c>
      <c r="G130" s="484"/>
      <c r="H130" s="488"/>
      <c r="I130" s="488"/>
      <c r="J130" s="488"/>
      <c r="K130" s="488"/>
      <c r="L130" s="490"/>
      <c r="M130" s="488">
        <v>75000</v>
      </c>
      <c r="N130" s="488">
        <v>75000</v>
      </c>
      <c r="O130" s="470">
        <f t="shared" ref="O130:O184" si="12">N130</f>
        <v>75000</v>
      </c>
      <c r="P130" s="488"/>
      <c r="Q130" s="622"/>
    </row>
    <row r="131" spans="1:17" ht="30">
      <c r="A131" s="173"/>
      <c r="B131" s="175"/>
      <c r="C131" s="170" t="s">
        <v>883</v>
      </c>
      <c r="D131" s="490"/>
      <c r="E131" s="488"/>
      <c r="F131" s="461">
        <f t="shared" ref="F131" si="13">G131+J131</f>
        <v>0</v>
      </c>
      <c r="G131" s="484"/>
      <c r="H131" s="488"/>
      <c r="I131" s="488"/>
      <c r="J131" s="488"/>
      <c r="K131" s="488"/>
      <c r="L131" s="490"/>
      <c r="M131" s="488">
        <v>21000</v>
      </c>
      <c r="N131" s="488">
        <v>21000</v>
      </c>
      <c r="O131" s="470">
        <f t="shared" si="12"/>
        <v>21000</v>
      </c>
      <c r="P131" s="488"/>
      <c r="Q131" s="622"/>
    </row>
    <row r="132" spans="1:17" ht="16.5">
      <c r="A132" s="173"/>
      <c r="B132" s="175"/>
      <c r="C132" s="170" t="s">
        <v>884</v>
      </c>
      <c r="D132" s="490"/>
      <c r="E132" s="488"/>
      <c r="F132" s="461"/>
      <c r="G132" s="484"/>
      <c r="H132" s="488"/>
      <c r="I132" s="488"/>
      <c r="J132" s="488"/>
      <c r="K132" s="488"/>
      <c r="L132" s="490"/>
      <c r="M132" s="488">
        <v>15000</v>
      </c>
      <c r="N132" s="488">
        <v>15000</v>
      </c>
      <c r="O132" s="470">
        <f t="shared" si="12"/>
        <v>15000</v>
      </c>
      <c r="P132" s="488"/>
      <c r="Q132" s="622"/>
    </row>
    <row r="133" spans="1:17" ht="16.5">
      <c r="A133" s="173"/>
      <c r="B133" s="175"/>
      <c r="C133" s="170" t="s">
        <v>885</v>
      </c>
      <c r="D133" s="490"/>
      <c r="E133" s="488"/>
      <c r="F133" s="461"/>
      <c r="G133" s="484"/>
      <c r="H133" s="488"/>
      <c r="I133" s="488"/>
      <c r="J133" s="488"/>
      <c r="K133" s="488"/>
      <c r="L133" s="490"/>
      <c r="M133" s="488">
        <v>20000</v>
      </c>
      <c r="N133" s="488">
        <v>20000</v>
      </c>
      <c r="O133" s="470">
        <f t="shared" si="12"/>
        <v>20000</v>
      </c>
      <c r="P133" s="488"/>
      <c r="Q133" s="622"/>
    </row>
    <row r="134" spans="1:17" ht="16.5">
      <c r="A134" s="478">
        <v>4</v>
      </c>
      <c r="B134" s="495"/>
      <c r="C134" s="480" t="s">
        <v>788</v>
      </c>
      <c r="D134" s="490"/>
      <c r="E134" s="472">
        <f>E135+E139+E140</f>
        <v>1450478.9279999998</v>
      </c>
      <c r="F134" s="482">
        <f>F135+F139+F140</f>
        <v>1401858.9279999998</v>
      </c>
      <c r="G134" s="482">
        <f>H134+I134</f>
        <v>1374278.9279999998</v>
      </c>
      <c r="H134" s="482">
        <f>H135+H139+H140</f>
        <v>1329278.9279999998</v>
      </c>
      <c r="I134" s="482">
        <f>I135+I139+I140</f>
        <v>45000</v>
      </c>
      <c r="J134" s="482">
        <f>J135+J139+J140</f>
        <v>27580</v>
      </c>
      <c r="K134" s="482"/>
      <c r="L134" s="481"/>
      <c r="M134" s="482">
        <f>M135+M139+M140</f>
        <v>1974611.82</v>
      </c>
      <c r="N134" s="482">
        <f>N135+N139+N140</f>
        <v>1814611.82</v>
      </c>
      <c r="O134" s="466">
        <f t="shared" si="12"/>
        <v>1814611.82</v>
      </c>
      <c r="P134" s="482"/>
      <c r="Q134" s="631"/>
    </row>
    <row r="135" spans="1:17" ht="16.5">
      <c r="A135" s="171"/>
      <c r="B135" s="174"/>
      <c r="C135" s="169" t="s">
        <v>377</v>
      </c>
      <c r="D135" s="471"/>
      <c r="E135" s="472">
        <f>(E136+E137+E138)</f>
        <v>782357.67599999998</v>
      </c>
      <c r="F135" s="472">
        <f>(F136+F137+F138)</f>
        <v>809937.67599999998</v>
      </c>
      <c r="G135" s="472">
        <f t="shared" ref="G135:G168" si="14">H135+I135</f>
        <v>782357.67599999998</v>
      </c>
      <c r="H135" s="472">
        <f>(H136+H137+H138)</f>
        <v>782357.67599999998</v>
      </c>
      <c r="I135" s="472">
        <f t="shared" ref="I135" si="15">(I136+I137+I138)</f>
        <v>0</v>
      </c>
      <c r="J135" s="472">
        <f>(J136+J137+J138)</f>
        <v>27580</v>
      </c>
      <c r="K135" s="472"/>
      <c r="L135" s="496"/>
      <c r="M135" s="472">
        <f>(M136+M137+M138)</f>
        <v>851509.83000000007</v>
      </c>
      <c r="N135" s="472">
        <f>(N136+N137+N138)</f>
        <v>851509.83000000007</v>
      </c>
      <c r="O135" s="466">
        <f t="shared" si="12"/>
        <v>851509.83000000007</v>
      </c>
      <c r="P135" s="472"/>
      <c r="Q135" s="622"/>
    </row>
    <row r="136" spans="1:17" ht="16.5">
      <c r="A136" s="173"/>
      <c r="B136" s="174"/>
      <c r="C136" s="170" t="s">
        <v>158</v>
      </c>
      <c r="D136" s="489">
        <f>25.84+1.25+0.498+0.6+0.2</f>
        <v>28.388000000000002</v>
      </c>
      <c r="E136" s="488">
        <f>D136*1310*12</f>
        <v>446259.36</v>
      </c>
      <c r="F136" s="488">
        <f>G136+J136</f>
        <v>473839.35999999999</v>
      </c>
      <c r="G136" s="484">
        <f t="shared" si="14"/>
        <v>446259.36</v>
      </c>
      <c r="H136" s="488">
        <f>E136</f>
        <v>446259.36</v>
      </c>
      <c r="I136" s="488"/>
      <c r="J136" s="488">
        <v>27580</v>
      </c>
      <c r="K136" s="488"/>
      <c r="L136" s="489">
        <f>26.51+1.25+0.55+0.6+0.2</f>
        <v>29.110000000000003</v>
      </c>
      <c r="M136" s="488">
        <f>L136*1390*12</f>
        <v>485554.80000000005</v>
      </c>
      <c r="N136" s="488">
        <f>M136</f>
        <v>485554.80000000005</v>
      </c>
      <c r="O136" s="470">
        <f t="shared" si="12"/>
        <v>485554.80000000005</v>
      </c>
      <c r="P136" s="488"/>
      <c r="Q136" s="622"/>
    </row>
    <row r="137" spans="1:17" ht="16.5">
      <c r="A137" s="171"/>
      <c r="B137" s="174"/>
      <c r="C137" s="170" t="s">
        <v>791</v>
      </c>
      <c r="D137" s="489">
        <v>15.173</v>
      </c>
      <c r="E137" s="488">
        <f>D137*1310*12</f>
        <v>238519.56</v>
      </c>
      <c r="F137" s="488">
        <f t="shared" ref="F137:F194" si="16">G137+J137</f>
        <v>238519.56</v>
      </c>
      <c r="G137" s="484">
        <f t="shared" si="14"/>
        <v>238519.56</v>
      </c>
      <c r="H137" s="488">
        <f>E137</f>
        <v>238519.56</v>
      </c>
      <c r="I137" s="488"/>
      <c r="J137" s="488"/>
      <c r="K137" s="488"/>
      <c r="L137" s="489">
        <f>8.49+7.08</f>
        <v>15.57</v>
      </c>
      <c r="M137" s="488">
        <f>L137*1390*12</f>
        <v>259707.59999999998</v>
      </c>
      <c r="N137" s="488">
        <f>M137</f>
        <v>259707.59999999998</v>
      </c>
      <c r="O137" s="470">
        <f t="shared" si="12"/>
        <v>259707.59999999998</v>
      </c>
      <c r="P137" s="488"/>
      <c r="Q137" s="622"/>
    </row>
    <row r="138" spans="1:17" ht="16.5">
      <c r="A138" s="171"/>
      <c r="B138" s="174"/>
      <c r="C138" s="170" t="s">
        <v>733</v>
      </c>
      <c r="D138" s="489">
        <f>(25.84+1.25+0.498)*22.5%</f>
        <v>6.2073</v>
      </c>
      <c r="E138" s="488">
        <f>D138*1310*12</f>
        <v>97578.755999999994</v>
      </c>
      <c r="F138" s="488">
        <f t="shared" si="16"/>
        <v>97578.755999999994</v>
      </c>
      <c r="G138" s="484">
        <f t="shared" si="14"/>
        <v>97578.755999999994</v>
      </c>
      <c r="H138" s="488">
        <f>E138</f>
        <v>97578.755999999994</v>
      </c>
      <c r="I138" s="488"/>
      <c r="J138" s="488"/>
      <c r="K138" s="488"/>
      <c r="L138" s="489">
        <f>(26.51+1.25+0.55)*22.5%</f>
        <v>6.3697500000000007</v>
      </c>
      <c r="M138" s="488">
        <f>L138*1390*12</f>
        <v>106247.43000000002</v>
      </c>
      <c r="N138" s="488">
        <f>M138</f>
        <v>106247.43000000002</v>
      </c>
      <c r="O138" s="470">
        <f t="shared" si="12"/>
        <v>106247.43000000002</v>
      </c>
      <c r="P138" s="488"/>
      <c r="Q138" s="622"/>
    </row>
    <row r="139" spans="1:17" ht="16.5">
      <c r="A139" s="171"/>
      <c r="B139" s="172"/>
      <c r="C139" s="169" t="s">
        <v>5</v>
      </c>
      <c r="D139" s="490"/>
      <c r="E139" s="491">
        <f>(D136+D138)*1210*25/75*12</f>
        <v>167441.25200000001</v>
      </c>
      <c r="F139" s="491">
        <f t="shared" si="16"/>
        <v>167441.25200000001</v>
      </c>
      <c r="G139" s="472">
        <f t="shared" si="14"/>
        <v>167441.25200000001</v>
      </c>
      <c r="H139" s="491">
        <f>E139</f>
        <v>167441.25200000001</v>
      </c>
      <c r="I139" s="491"/>
      <c r="J139" s="491"/>
      <c r="K139" s="491"/>
      <c r="L139" s="497"/>
      <c r="M139" s="491">
        <f>(L136+L138)*1210*12*25/75</f>
        <v>171721.99000000002</v>
      </c>
      <c r="N139" s="491">
        <f>M139</f>
        <v>171721.99000000002</v>
      </c>
      <c r="O139" s="466">
        <f t="shared" si="12"/>
        <v>171721.99000000002</v>
      </c>
      <c r="P139" s="491"/>
      <c r="Q139" s="622"/>
    </row>
    <row r="140" spans="1:17" ht="16.5">
      <c r="A140" s="159"/>
      <c r="B140" s="161"/>
      <c r="C140" s="169" t="s">
        <v>380</v>
      </c>
      <c r="D140" s="471">
        <f>SUM(D141:D167)</f>
        <v>0</v>
      </c>
      <c r="E140" s="472">
        <f>SUM(E141:E168)</f>
        <v>500680</v>
      </c>
      <c r="F140" s="491">
        <f t="shared" si="16"/>
        <v>424480</v>
      </c>
      <c r="G140" s="472">
        <f t="shared" si="14"/>
        <v>424480</v>
      </c>
      <c r="H140" s="472">
        <f>SUM(H141:H168)</f>
        <v>379480</v>
      </c>
      <c r="I140" s="472">
        <f>SUM(I141:I168)</f>
        <v>45000</v>
      </c>
      <c r="J140" s="472"/>
      <c r="K140" s="472">
        <f t="shared" ref="K140:L140" si="17">SUM(K141:K168)</f>
        <v>420080</v>
      </c>
      <c r="L140" s="471">
        <f t="shared" si="17"/>
        <v>0</v>
      </c>
      <c r="M140" s="472">
        <f>SUM(M141:M169)</f>
        <v>951380</v>
      </c>
      <c r="N140" s="472">
        <f>SUM(N141:N169)</f>
        <v>791380</v>
      </c>
      <c r="O140" s="466">
        <f t="shared" si="12"/>
        <v>791380</v>
      </c>
      <c r="P140" s="472"/>
      <c r="Q140" s="622"/>
    </row>
    <row r="141" spans="1:17" ht="16.5">
      <c r="A141" s="173"/>
      <c r="B141" s="174">
        <f>30.99+3</f>
        <v>33.989999999999995</v>
      </c>
      <c r="C141" s="170" t="s">
        <v>635</v>
      </c>
      <c r="D141" s="490"/>
      <c r="E141" s="488">
        <v>28000</v>
      </c>
      <c r="F141" s="488">
        <f t="shared" si="16"/>
        <v>28000</v>
      </c>
      <c r="G141" s="484">
        <f t="shared" si="14"/>
        <v>28000</v>
      </c>
      <c r="H141" s="488">
        <f>E141</f>
        <v>28000</v>
      </c>
      <c r="I141" s="488"/>
      <c r="J141" s="488"/>
      <c r="K141" s="488">
        <v>28000</v>
      </c>
      <c r="L141" s="490"/>
      <c r="M141" s="488">
        <v>28000</v>
      </c>
      <c r="N141" s="488">
        <v>28000</v>
      </c>
      <c r="O141" s="470">
        <f t="shared" si="12"/>
        <v>28000</v>
      </c>
      <c r="P141" s="488"/>
      <c r="Q141" s="622"/>
    </row>
    <row r="142" spans="1:17" ht="16.5">
      <c r="A142" s="173"/>
      <c r="B142" s="174">
        <v>12.73</v>
      </c>
      <c r="C142" s="170" t="s">
        <v>886</v>
      </c>
      <c r="D142" s="490"/>
      <c r="E142" s="488">
        <v>3000</v>
      </c>
      <c r="F142" s="488">
        <f t="shared" si="16"/>
        <v>3000</v>
      </c>
      <c r="G142" s="484">
        <f t="shared" si="14"/>
        <v>3000</v>
      </c>
      <c r="H142" s="488">
        <f>E142</f>
        <v>3000</v>
      </c>
      <c r="I142" s="488"/>
      <c r="J142" s="488"/>
      <c r="K142" s="488">
        <v>3000</v>
      </c>
      <c r="L142" s="490"/>
      <c r="M142" s="488">
        <v>3000</v>
      </c>
      <c r="N142" s="488">
        <v>3000</v>
      </c>
      <c r="O142" s="470">
        <f t="shared" si="12"/>
        <v>3000</v>
      </c>
      <c r="P142" s="488"/>
      <c r="Q142" s="622"/>
    </row>
    <row r="143" spans="1:17" ht="30">
      <c r="A143" s="173"/>
      <c r="B143" s="174">
        <f>(21.55+1.15+0.45)*22%</f>
        <v>5.093</v>
      </c>
      <c r="C143" s="170" t="s">
        <v>792</v>
      </c>
      <c r="D143" s="490"/>
      <c r="E143" s="488">
        <v>9000</v>
      </c>
      <c r="F143" s="488">
        <f t="shared" si="16"/>
        <v>9000</v>
      </c>
      <c r="G143" s="484">
        <f t="shared" si="14"/>
        <v>9000</v>
      </c>
      <c r="H143" s="488">
        <f>E143</f>
        <v>9000</v>
      </c>
      <c r="I143" s="488"/>
      <c r="J143" s="488"/>
      <c r="K143" s="488">
        <v>9000</v>
      </c>
      <c r="L143" s="490"/>
      <c r="M143" s="488">
        <v>9000</v>
      </c>
      <c r="N143" s="488">
        <v>9000</v>
      </c>
      <c r="O143" s="470">
        <f t="shared" si="12"/>
        <v>9000</v>
      </c>
      <c r="P143" s="488"/>
      <c r="Q143" s="622"/>
    </row>
    <row r="144" spans="1:17" ht="16.5">
      <c r="A144" s="173"/>
      <c r="B144" s="174"/>
      <c r="C144" s="170" t="s">
        <v>436</v>
      </c>
      <c r="D144" s="490"/>
      <c r="E144" s="488">
        <v>12000</v>
      </c>
      <c r="F144" s="488">
        <f t="shared" si="16"/>
        <v>12000</v>
      </c>
      <c r="G144" s="484">
        <f t="shared" si="14"/>
        <v>12000</v>
      </c>
      <c r="H144" s="488">
        <v>12000</v>
      </c>
      <c r="I144" s="488"/>
      <c r="J144" s="488"/>
      <c r="K144" s="488">
        <v>12000</v>
      </c>
      <c r="L144" s="490"/>
      <c r="M144" s="488">
        <v>12000</v>
      </c>
      <c r="N144" s="488">
        <v>12000</v>
      </c>
      <c r="O144" s="470">
        <f t="shared" si="12"/>
        <v>12000</v>
      </c>
      <c r="P144" s="488"/>
      <c r="Q144" s="622"/>
    </row>
    <row r="145" spans="1:17" ht="16.5">
      <c r="A145" s="173"/>
      <c r="B145" s="208"/>
      <c r="C145" s="170" t="s">
        <v>220</v>
      </c>
      <c r="D145" s="490"/>
      <c r="E145" s="488">
        <v>20000</v>
      </c>
      <c r="F145" s="488">
        <f t="shared" si="16"/>
        <v>20000</v>
      </c>
      <c r="G145" s="484">
        <f t="shared" si="14"/>
        <v>20000</v>
      </c>
      <c r="H145" s="488">
        <f>E145</f>
        <v>20000</v>
      </c>
      <c r="I145" s="488"/>
      <c r="J145" s="488"/>
      <c r="K145" s="488">
        <v>20000</v>
      </c>
      <c r="L145" s="490"/>
      <c r="M145" s="488">
        <v>20000</v>
      </c>
      <c r="N145" s="488">
        <v>20000</v>
      </c>
      <c r="O145" s="470">
        <f t="shared" si="12"/>
        <v>20000</v>
      </c>
      <c r="P145" s="488"/>
      <c r="Q145" s="622"/>
    </row>
    <row r="146" spans="1:17" ht="75">
      <c r="A146" s="173"/>
      <c r="B146" s="208"/>
      <c r="C146" s="170" t="s">
        <v>887</v>
      </c>
      <c r="D146" s="490"/>
      <c r="E146" s="488">
        <v>36200</v>
      </c>
      <c r="F146" s="488">
        <f t="shared" si="16"/>
        <v>8000</v>
      </c>
      <c r="G146" s="484">
        <f t="shared" si="14"/>
        <v>8000</v>
      </c>
      <c r="H146" s="488">
        <v>8000</v>
      </c>
      <c r="I146" s="488"/>
      <c r="J146" s="488"/>
      <c r="K146" s="488">
        <v>8000</v>
      </c>
      <c r="L146" s="490"/>
      <c r="M146" s="488">
        <v>30000</v>
      </c>
      <c r="N146" s="488">
        <v>30000</v>
      </c>
      <c r="O146" s="470">
        <f t="shared" si="12"/>
        <v>30000</v>
      </c>
      <c r="P146" s="488"/>
      <c r="Q146" s="357"/>
    </row>
    <row r="147" spans="1:17" ht="69.75" customHeight="1">
      <c r="A147" s="173"/>
      <c r="B147" s="201"/>
      <c r="C147" s="170" t="s">
        <v>888</v>
      </c>
      <c r="D147" s="490"/>
      <c r="E147" s="488">
        <v>62000</v>
      </c>
      <c r="F147" s="488">
        <f t="shared" si="16"/>
        <v>52000</v>
      </c>
      <c r="G147" s="484">
        <f t="shared" si="14"/>
        <v>52000</v>
      </c>
      <c r="H147" s="488">
        <v>52000</v>
      </c>
      <c r="I147" s="488"/>
      <c r="J147" s="488"/>
      <c r="K147" s="488">
        <v>58000</v>
      </c>
      <c r="L147" s="490"/>
      <c r="M147" s="488">
        <v>67600</v>
      </c>
      <c r="N147" s="488">
        <v>67600</v>
      </c>
      <c r="O147" s="470">
        <v>67600</v>
      </c>
      <c r="P147" s="488"/>
      <c r="Q147" s="633" t="s">
        <v>1231</v>
      </c>
    </row>
    <row r="148" spans="1:17" ht="31.5" customHeight="1">
      <c r="A148" s="173"/>
      <c r="B148" s="201"/>
      <c r="C148" s="170" t="s">
        <v>1232</v>
      </c>
      <c r="D148" s="490"/>
      <c r="E148" s="488"/>
      <c r="F148" s="488"/>
      <c r="G148" s="484"/>
      <c r="H148" s="488"/>
      <c r="I148" s="488"/>
      <c r="J148" s="488"/>
      <c r="K148" s="488"/>
      <c r="L148" s="490"/>
      <c r="M148" s="488">
        <v>50000</v>
      </c>
      <c r="N148" s="488">
        <v>50000</v>
      </c>
      <c r="O148" s="470">
        <v>50000</v>
      </c>
      <c r="P148" s="488"/>
      <c r="Q148" s="633"/>
    </row>
    <row r="149" spans="1:17" ht="30">
      <c r="A149" s="173"/>
      <c r="B149" s="174"/>
      <c r="C149" s="170" t="s">
        <v>406</v>
      </c>
      <c r="D149" s="490"/>
      <c r="E149" s="488">
        <v>20000</v>
      </c>
      <c r="F149" s="488">
        <f t="shared" si="16"/>
        <v>15000</v>
      </c>
      <c r="G149" s="484">
        <f t="shared" si="14"/>
        <v>15000</v>
      </c>
      <c r="H149" s="488">
        <v>10000</v>
      </c>
      <c r="I149" s="488">
        <v>5000</v>
      </c>
      <c r="J149" s="488"/>
      <c r="K149" s="488">
        <v>10000</v>
      </c>
      <c r="L149" s="490"/>
      <c r="M149" s="488">
        <v>10000</v>
      </c>
      <c r="N149" s="488">
        <v>10000</v>
      </c>
      <c r="O149" s="470">
        <f t="shared" si="12"/>
        <v>10000</v>
      </c>
      <c r="P149" s="488"/>
      <c r="Q149" s="622"/>
    </row>
    <row r="150" spans="1:17" ht="16.5">
      <c r="A150" s="173"/>
      <c r="B150" s="174"/>
      <c r="C150" s="170" t="s">
        <v>10</v>
      </c>
      <c r="D150" s="490"/>
      <c r="E150" s="488">
        <v>5000</v>
      </c>
      <c r="F150" s="488">
        <f t="shared" si="16"/>
        <v>5000</v>
      </c>
      <c r="G150" s="484">
        <f t="shared" si="14"/>
        <v>5000</v>
      </c>
      <c r="H150" s="488">
        <v>5000</v>
      </c>
      <c r="I150" s="488"/>
      <c r="J150" s="488"/>
      <c r="K150" s="488">
        <v>5000</v>
      </c>
      <c r="L150" s="490"/>
      <c r="M150" s="488">
        <v>5000</v>
      </c>
      <c r="N150" s="488">
        <v>5000</v>
      </c>
      <c r="O150" s="470">
        <f t="shared" si="12"/>
        <v>5000</v>
      </c>
      <c r="P150" s="488"/>
      <c r="Q150" s="622"/>
    </row>
    <row r="151" spans="1:17" ht="30">
      <c r="A151" s="173"/>
      <c r="B151" s="174"/>
      <c r="C151" s="170" t="s">
        <v>373</v>
      </c>
      <c r="D151" s="490"/>
      <c r="E151" s="488">
        <v>24480</v>
      </c>
      <c r="F151" s="488">
        <f t="shared" si="16"/>
        <v>24480</v>
      </c>
      <c r="G151" s="484">
        <f t="shared" si="14"/>
        <v>24480</v>
      </c>
      <c r="H151" s="488">
        <v>24480</v>
      </c>
      <c r="I151" s="488"/>
      <c r="J151" s="488"/>
      <c r="K151" s="488">
        <v>24480</v>
      </c>
      <c r="L151" s="490"/>
      <c r="M151" s="488">
        <v>24480</v>
      </c>
      <c r="N151" s="488">
        <v>24480</v>
      </c>
      <c r="O151" s="470">
        <f t="shared" si="12"/>
        <v>24480</v>
      </c>
      <c r="P151" s="488"/>
      <c r="Q151" s="622"/>
    </row>
    <row r="152" spans="1:17" ht="16.5">
      <c r="A152" s="173"/>
      <c r="B152" s="174"/>
      <c r="C152" s="170" t="s">
        <v>889</v>
      </c>
      <c r="D152" s="490"/>
      <c r="E152" s="488">
        <v>24000</v>
      </c>
      <c r="F152" s="488">
        <f t="shared" si="16"/>
        <v>24000</v>
      </c>
      <c r="G152" s="484">
        <f t="shared" si="14"/>
        <v>24000</v>
      </c>
      <c r="H152" s="488">
        <v>24000</v>
      </c>
      <c r="I152" s="488"/>
      <c r="J152" s="488"/>
      <c r="K152" s="488">
        <v>24000</v>
      </c>
      <c r="L152" s="490"/>
      <c r="M152" s="488">
        <v>36000</v>
      </c>
      <c r="N152" s="488">
        <v>36000</v>
      </c>
      <c r="O152" s="470">
        <f t="shared" si="12"/>
        <v>36000</v>
      </c>
      <c r="P152" s="488"/>
      <c r="Q152" s="622"/>
    </row>
    <row r="153" spans="1:17" ht="45">
      <c r="A153" s="173"/>
      <c r="B153" s="174"/>
      <c r="C153" s="170" t="s">
        <v>890</v>
      </c>
      <c r="D153" s="490"/>
      <c r="E153" s="488">
        <v>15000</v>
      </c>
      <c r="F153" s="488">
        <f t="shared" si="16"/>
        <v>10000</v>
      </c>
      <c r="G153" s="484">
        <f t="shared" si="14"/>
        <v>10000</v>
      </c>
      <c r="H153" s="488">
        <v>10000</v>
      </c>
      <c r="I153" s="488"/>
      <c r="J153" s="488"/>
      <c r="K153" s="488">
        <v>10000</v>
      </c>
      <c r="L153" s="490"/>
      <c r="M153" s="488">
        <v>10000</v>
      </c>
      <c r="N153" s="488">
        <v>10000</v>
      </c>
      <c r="O153" s="470">
        <f t="shared" si="12"/>
        <v>10000</v>
      </c>
      <c r="P153" s="488"/>
      <c r="Q153" s="622"/>
    </row>
    <row r="154" spans="1:17" ht="16.5">
      <c r="A154" s="173"/>
      <c r="B154" s="174"/>
      <c r="C154" s="170" t="s">
        <v>7</v>
      </c>
      <c r="D154" s="490"/>
      <c r="E154" s="488">
        <f>16*500</f>
        <v>8000</v>
      </c>
      <c r="F154" s="488">
        <f t="shared" si="16"/>
        <v>5000</v>
      </c>
      <c r="G154" s="484">
        <f t="shared" si="14"/>
        <v>5000</v>
      </c>
      <c r="H154" s="488">
        <v>5000</v>
      </c>
      <c r="I154" s="488"/>
      <c r="J154" s="488"/>
      <c r="K154" s="488">
        <v>5000</v>
      </c>
      <c r="L154" s="490"/>
      <c r="M154" s="488">
        <v>5000</v>
      </c>
      <c r="N154" s="488">
        <v>5000</v>
      </c>
      <c r="O154" s="470">
        <f t="shared" si="12"/>
        <v>5000</v>
      </c>
      <c r="P154" s="488"/>
      <c r="Q154" s="622"/>
    </row>
    <row r="155" spans="1:17" ht="16.5">
      <c r="A155" s="163"/>
      <c r="B155" s="161"/>
      <c r="C155" s="170" t="s">
        <v>48</v>
      </c>
      <c r="D155" s="490"/>
      <c r="E155" s="488">
        <v>24000</v>
      </c>
      <c r="F155" s="488">
        <f t="shared" si="16"/>
        <v>24000</v>
      </c>
      <c r="G155" s="484">
        <f t="shared" si="14"/>
        <v>24000</v>
      </c>
      <c r="H155" s="488">
        <v>24000</v>
      </c>
      <c r="I155" s="488"/>
      <c r="J155" s="488"/>
      <c r="K155" s="488">
        <v>24000</v>
      </c>
      <c r="L155" s="490"/>
      <c r="M155" s="488">
        <v>24000</v>
      </c>
      <c r="N155" s="488">
        <v>24000</v>
      </c>
      <c r="O155" s="470">
        <f t="shared" si="12"/>
        <v>24000</v>
      </c>
      <c r="P155" s="488"/>
      <c r="Q155" s="622"/>
    </row>
    <row r="156" spans="1:17" ht="45">
      <c r="A156" s="163"/>
      <c r="B156" s="161"/>
      <c r="C156" s="170" t="s">
        <v>891</v>
      </c>
      <c r="D156" s="490"/>
      <c r="E156" s="488">
        <v>15000</v>
      </c>
      <c r="F156" s="488">
        <f t="shared" si="16"/>
        <v>10000</v>
      </c>
      <c r="G156" s="484">
        <f t="shared" si="14"/>
        <v>10000</v>
      </c>
      <c r="H156" s="488">
        <v>10000</v>
      </c>
      <c r="I156" s="488"/>
      <c r="J156" s="488"/>
      <c r="K156" s="488">
        <v>10000</v>
      </c>
      <c r="L156" s="490"/>
      <c r="M156" s="488">
        <v>10000</v>
      </c>
      <c r="N156" s="488">
        <v>10000</v>
      </c>
      <c r="O156" s="470">
        <f t="shared" si="12"/>
        <v>10000</v>
      </c>
      <c r="P156" s="488"/>
      <c r="Q156" s="357"/>
    </row>
    <row r="157" spans="1:17" ht="60">
      <c r="A157" s="163"/>
      <c r="B157" s="161"/>
      <c r="C157" s="170" t="s">
        <v>616</v>
      </c>
      <c r="D157" s="490"/>
      <c r="E157" s="488">
        <v>10000</v>
      </c>
      <c r="F157" s="488">
        <f t="shared" si="16"/>
        <v>5000</v>
      </c>
      <c r="G157" s="484">
        <f t="shared" si="14"/>
        <v>5000</v>
      </c>
      <c r="H157" s="488">
        <v>5000</v>
      </c>
      <c r="I157" s="488"/>
      <c r="J157" s="488"/>
      <c r="K157" s="488">
        <v>5000</v>
      </c>
      <c r="L157" s="490"/>
      <c r="M157" s="488">
        <v>10000</v>
      </c>
      <c r="N157" s="488">
        <v>5000</v>
      </c>
      <c r="O157" s="470">
        <f t="shared" si="12"/>
        <v>5000</v>
      </c>
      <c r="P157" s="488"/>
      <c r="Q157" s="624"/>
    </row>
    <row r="158" spans="1:17" ht="120.75" customHeight="1">
      <c r="A158" s="163"/>
      <c r="B158" s="161"/>
      <c r="C158" s="170" t="s">
        <v>23</v>
      </c>
      <c r="D158" s="490"/>
      <c r="E158" s="488">
        <v>10000</v>
      </c>
      <c r="F158" s="488">
        <f t="shared" si="16"/>
        <v>10000</v>
      </c>
      <c r="G158" s="484">
        <f t="shared" si="14"/>
        <v>10000</v>
      </c>
      <c r="H158" s="488">
        <v>10000</v>
      </c>
      <c r="I158" s="488"/>
      <c r="J158" s="488"/>
      <c r="K158" s="488">
        <v>10000</v>
      </c>
      <c r="L158" s="490"/>
      <c r="M158" s="488">
        <v>10000</v>
      </c>
      <c r="N158" s="488">
        <v>10000</v>
      </c>
      <c r="O158" s="470">
        <f t="shared" si="12"/>
        <v>10000</v>
      </c>
      <c r="P158" s="488"/>
      <c r="Q158" s="357" t="s">
        <v>892</v>
      </c>
    </row>
    <row r="159" spans="1:17" ht="16.5">
      <c r="A159" s="163"/>
      <c r="B159" s="161"/>
      <c r="C159" s="170" t="s">
        <v>444</v>
      </c>
      <c r="D159" s="490"/>
      <c r="E159" s="488">
        <v>30000</v>
      </c>
      <c r="F159" s="488">
        <f t="shared" si="16"/>
        <v>30000</v>
      </c>
      <c r="G159" s="484">
        <f t="shared" si="14"/>
        <v>30000</v>
      </c>
      <c r="H159" s="488">
        <v>20000</v>
      </c>
      <c r="I159" s="488">
        <v>10000</v>
      </c>
      <c r="J159" s="488"/>
      <c r="K159" s="488">
        <v>30000</v>
      </c>
      <c r="L159" s="490"/>
      <c r="M159" s="488">
        <v>30000</v>
      </c>
      <c r="N159" s="488">
        <v>30000</v>
      </c>
      <c r="O159" s="470">
        <f t="shared" si="12"/>
        <v>30000</v>
      </c>
      <c r="P159" s="488"/>
      <c r="Q159" s="622"/>
    </row>
    <row r="160" spans="1:17" ht="16.5">
      <c r="A160" s="163"/>
      <c r="B160" s="161"/>
      <c r="C160" s="170" t="s">
        <v>893</v>
      </c>
      <c r="D160" s="490"/>
      <c r="E160" s="488"/>
      <c r="F160" s="488">
        <f t="shared" si="16"/>
        <v>0</v>
      </c>
      <c r="G160" s="484"/>
      <c r="H160" s="488"/>
      <c r="I160" s="488"/>
      <c r="J160" s="488"/>
      <c r="K160" s="488"/>
      <c r="L160" s="490"/>
      <c r="M160" s="488">
        <v>10000</v>
      </c>
      <c r="N160" s="488">
        <v>10000</v>
      </c>
      <c r="O160" s="470">
        <f t="shared" si="12"/>
        <v>10000</v>
      </c>
      <c r="P160" s="488"/>
      <c r="Q160" s="623"/>
    </row>
    <row r="161" spans="1:17" ht="120">
      <c r="A161" s="163"/>
      <c r="B161" s="161"/>
      <c r="C161" s="170" t="s">
        <v>894</v>
      </c>
      <c r="D161" s="490"/>
      <c r="E161" s="488"/>
      <c r="F161" s="488">
        <f t="shared" si="16"/>
        <v>0</v>
      </c>
      <c r="G161" s="484"/>
      <c r="H161" s="488"/>
      <c r="I161" s="488"/>
      <c r="J161" s="488"/>
      <c r="K161" s="488">
        <v>28600</v>
      </c>
      <c r="L161" s="490"/>
      <c r="M161" s="488">
        <v>35000</v>
      </c>
      <c r="N161" s="488">
        <v>20000</v>
      </c>
      <c r="O161" s="470">
        <f t="shared" si="12"/>
        <v>20000</v>
      </c>
      <c r="P161" s="488"/>
      <c r="Q161" s="623"/>
    </row>
    <row r="162" spans="1:17" ht="37.5" customHeight="1">
      <c r="A162" s="163"/>
      <c r="B162" s="161"/>
      <c r="C162" s="170" t="s">
        <v>895</v>
      </c>
      <c r="D162" s="490"/>
      <c r="E162" s="488"/>
      <c r="F162" s="488">
        <f t="shared" si="16"/>
        <v>0</v>
      </c>
      <c r="G162" s="484"/>
      <c r="H162" s="488"/>
      <c r="I162" s="488"/>
      <c r="J162" s="488"/>
      <c r="K162" s="488"/>
      <c r="L162" s="490"/>
      <c r="M162" s="488">
        <v>280000</v>
      </c>
      <c r="N162" s="488">
        <v>150000</v>
      </c>
      <c r="O162" s="470">
        <f t="shared" si="12"/>
        <v>150000</v>
      </c>
      <c r="P162" s="488"/>
      <c r="Q162" s="623" t="s">
        <v>896</v>
      </c>
    </row>
    <row r="163" spans="1:17" ht="16.5">
      <c r="A163" s="163"/>
      <c r="B163" s="161"/>
      <c r="C163" s="170" t="s">
        <v>1171</v>
      </c>
      <c r="D163" s="490"/>
      <c r="E163" s="488"/>
      <c r="F163" s="488"/>
      <c r="G163" s="484"/>
      <c r="H163" s="488"/>
      <c r="I163" s="488"/>
      <c r="J163" s="488"/>
      <c r="K163" s="488"/>
      <c r="L163" s="490"/>
      <c r="M163" s="488">
        <v>25000</v>
      </c>
      <c r="N163" s="488">
        <v>25000</v>
      </c>
      <c r="O163" s="470">
        <f t="shared" si="12"/>
        <v>25000</v>
      </c>
      <c r="P163" s="488"/>
      <c r="Q163" s="623"/>
    </row>
    <row r="164" spans="1:17" ht="16.5">
      <c r="A164" s="163"/>
      <c r="B164" s="161"/>
      <c r="C164" s="170" t="s">
        <v>897</v>
      </c>
      <c r="D164" s="490"/>
      <c r="E164" s="488"/>
      <c r="F164" s="488"/>
      <c r="G164" s="484"/>
      <c r="H164" s="488"/>
      <c r="I164" s="488"/>
      <c r="J164" s="488"/>
      <c r="K164" s="488"/>
      <c r="L164" s="490"/>
      <c r="M164" s="488">
        <v>10000</v>
      </c>
      <c r="N164" s="488">
        <v>10000</v>
      </c>
      <c r="O164" s="470">
        <f t="shared" si="12"/>
        <v>10000</v>
      </c>
      <c r="P164" s="488"/>
      <c r="Q164" s="623"/>
    </row>
    <row r="165" spans="1:17" ht="16.5">
      <c r="A165" s="163"/>
      <c r="B165" s="161"/>
      <c r="C165" s="170" t="s">
        <v>254</v>
      </c>
      <c r="D165" s="490"/>
      <c r="E165" s="488">
        <v>55000</v>
      </c>
      <c r="F165" s="488">
        <f t="shared" si="16"/>
        <v>30000</v>
      </c>
      <c r="G165" s="484">
        <f t="shared" si="14"/>
        <v>30000</v>
      </c>
      <c r="H165" s="488">
        <v>20000</v>
      </c>
      <c r="I165" s="488">
        <v>10000</v>
      </c>
      <c r="J165" s="488"/>
      <c r="K165" s="488">
        <v>20000</v>
      </c>
      <c r="L165" s="490"/>
      <c r="M165" s="488">
        <v>30000</v>
      </c>
      <c r="N165" s="488">
        <v>20000</v>
      </c>
      <c r="O165" s="470">
        <f t="shared" si="12"/>
        <v>20000</v>
      </c>
      <c r="P165" s="488"/>
      <c r="Q165" s="622"/>
    </row>
    <row r="166" spans="1:17" ht="16.5">
      <c r="A166" s="163"/>
      <c r="B166" s="161"/>
      <c r="C166" s="170" t="s">
        <v>255</v>
      </c>
      <c r="D166" s="490"/>
      <c r="E166" s="488">
        <v>20000</v>
      </c>
      <c r="F166" s="488">
        <f t="shared" si="16"/>
        <v>20000</v>
      </c>
      <c r="G166" s="484">
        <f t="shared" si="14"/>
        <v>20000</v>
      </c>
      <c r="H166" s="488">
        <v>20000</v>
      </c>
      <c r="I166" s="488"/>
      <c r="J166" s="488"/>
      <c r="K166" s="488">
        <v>20000</v>
      </c>
      <c r="L166" s="490"/>
      <c r="M166" s="488">
        <v>20000</v>
      </c>
      <c r="N166" s="488">
        <v>20000</v>
      </c>
      <c r="O166" s="470">
        <f t="shared" si="12"/>
        <v>20000</v>
      </c>
      <c r="P166" s="488"/>
      <c r="Q166" s="622"/>
    </row>
    <row r="167" spans="1:17" ht="16.5">
      <c r="A167" s="163"/>
      <c r="B167" s="161"/>
      <c r="C167" s="170" t="s">
        <v>256</v>
      </c>
      <c r="D167" s="490"/>
      <c r="E167" s="488">
        <v>20000</v>
      </c>
      <c r="F167" s="488">
        <f t="shared" si="16"/>
        <v>20000</v>
      </c>
      <c r="G167" s="484">
        <f t="shared" si="14"/>
        <v>20000</v>
      </c>
      <c r="H167" s="488">
        <v>20000</v>
      </c>
      <c r="I167" s="488"/>
      <c r="J167" s="488"/>
      <c r="K167" s="488">
        <v>20000</v>
      </c>
      <c r="L167" s="490"/>
      <c r="M167" s="488">
        <v>20000</v>
      </c>
      <c r="N167" s="488">
        <v>20000</v>
      </c>
      <c r="O167" s="470">
        <f t="shared" si="12"/>
        <v>20000</v>
      </c>
      <c r="P167" s="488"/>
      <c r="Q167" s="622"/>
    </row>
    <row r="168" spans="1:17" ht="92.25" customHeight="1">
      <c r="A168" s="163"/>
      <c r="B168" s="161"/>
      <c r="C168" s="170" t="s">
        <v>713</v>
      </c>
      <c r="D168" s="490"/>
      <c r="E168" s="488">
        <v>50000</v>
      </c>
      <c r="F168" s="488">
        <f t="shared" si="16"/>
        <v>60000</v>
      </c>
      <c r="G168" s="484">
        <f t="shared" si="14"/>
        <v>60000</v>
      </c>
      <c r="H168" s="488">
        <v>40000</v>
      </c>
      <c r="I168" s="488">
        <v>20000</v>
      </c>
      <c r="J168" s="488"/>
      <c r="K168" s="488">
        <v>36000</v>
      </c>
      <c r="L168" s="490"/>
      <c r="M168" s="488">
        <v>36000</v>
      </c>
      <c r="N168" s="488">
        <v>36000</v>
      </c>
      <c r="O168" s="470">
        <f t="shared" si="12"/>
        <v>36000</v>
      </c>
      <c r="P168" s="488"/>
      <c r="Q168" s="357" t="s">
        <v>898</v>
      </c>
    </row>
    <row r="169" spans="1:17" ht="30">
      <c r="A169" s="163"/>
      <c r="B169" s="161"/>
      <c r="C169" s="170" t="s">
        <v>899</v>
      </c>
      <c r="D169" s="490"/>
      <c r="E169" s="488"/>
      <c r="F169" s="488">
        <f t="shared" si="16"/>
        <v>0</v>
      </c>
      <c r="G169" s="484"/>
      <c r="H169" s="488"/>
      <c r="I169" s="488"/>
      <c r="J169" s="488"/>
      <c r="K169" s="488"/>
      <c r="L169" s="490"/>
      <c r="M169" s="488">
        <v>91300</v>
      </c>
      <c r="N169" s="488">
        <v>91300</v>
      </c>
      <c r="O169" s="470">
        <f t="shared" si="12"/>
        <v>91300</v>
      </c>
      <c r="P169" s="488"/>
      <c r="Q169" s="357"/>
    </row>
    <row r="170" spans="1:17" ht="16.5">
      <c r="A170" s="478">
        <v>5</v>
      </c>
      <c r="B170" s="498"/>
      <c r="C170" s="480" t="s">
        <v>310</v>
      </c>
      <c r="D170" s="481">
        <f t="shared" ref="D170:E170" si="18">D171+D175+D176</f>
        <v>0</v>
      </c>
      <c r="E170" s="482">
        <f t="shared" si="18"/>
        <v>593391.02</v>
      </c>
      <c r="F170" s="491">
        <f t="shared" si="16"/>
        <v>512641.02</v>
      </c>
      <c r="G170" s="482">
        <f>H170+I170</f>
        <v>496391.02</v>
      </c>
      <c r="H170" s="482">
        <f>H171+H175+H176</f>
        <v>441391.02</v>
      </c>
      <c r="I170" s="482">
        <f>I171+I175+I176</f>
        <v>55000</v>
      </c>
      <c r="J170" s="482">
        <f>J171+J175+J176</f>
        <v>16250</v>
      </c>
      <c r="K170" s="482"/>
      <c r="L170" s="481"/>
      <c r="M170" s="482">
        <f>M171+M175+M176</f>
        <v>803672.08000000007</v>
      </c>
      <c r="N170" s="482">
        <f>N171+N175+N176</f>
        <v>668672.08000000007</v>
      </c>
      <c r="O170" s="466">
        <f t="shared" si="12"/>
        <v>668672.08000000007</v>
      </c>
      <c r="P170" s="482"/>
      <c r="Q170" s="631"/>
    </row>
    <row r="171" spans="1:17" ht="16.5">
      <c r="A171" s="171"/>
      <c r="B171" s="174"/>
      <c r="C171" s="169" t="s">
        <v>377</v>
      </c>
      <c r="D171" s="490"/>
      <c r="E171" s="472">
        <f>E172+E173+E174</f>
        <v>256939.8</v>
      </c>
      <c r="F171" s="491">
        <f t="shared" si="16"/>
        <v>264939.8</v>
      </c>
      <c r="G171" s="472">
        <f t="shared" ref="G171:G225" si="19">H171+I171</f>
        <v>256939.8</v>
      </c>
      <c r="H171" s="472">
        <f>H172+H173+H174</f>
        <v>256939.8</v>
      </c>
      <c r="I171" s="472">
        <f t="shared" ref="I171:J171" si="20">I172+I173+I174</f>
        <v>0</v>
      </c>
      <c r="J171" s="472">
        <f t="shared" si="20"/>
        <v>8000</v>
      </c>
      <c r="K171" s="472"/>
      <c r="L171" s="496"/>
      <c r="M171" s="472">
        <f>M172+M173+M174</f>
        <v>246438.66000000003</v>
      </c>
      <c r="N171" s="472">
        <f>N172+N173+N174</f>
        <v>246438.66000000003</v>
      </c>
      <c r="O171" s="466">
        <f t="shared" si="12"/>
        <v>246438.66000000003</v>
      </c>
      <c r="P171" s="472"/>
      <c r="Q171" s="622"/>
    </row>
    <row r="172" spans="1:17" ht="16.5">
      <c r="A172" s="173"/>
      <c r="B172" s="174"/>
      <c r="C172" s="170" t="s">
        <v>101</v>
      </c>
      <c r="D172" s="489">
        <f>7.68+0.5+0.3</f>
        <v>8.48</v>
      </c>
      <c r="E172" s="488">
        <f>D172*1300*12</f>
        <v>132288</v>
      </c>
      <c r="F172" s="488">
        <f t="shared" si="16"/>
        <v>140288</v>
      </c>
      <c r="G172" s="484">
        <f>H172+I172</f>
        <v>132288</v>
      </c>
      <c r="H172" s="488">
        <f>E172</f>
        <v>132288</v>
      </c>
      <c r="I172" s="488"/>
      <c r="J172" s="488">
        <v>8000</v>
      </c>
      <c r="K172" s="488"/>
      <c r="L172" s="489">
        <f>7.68+0.5+0.3</f>
        <v>8.48</v>
      </c>
      <c r="M172" s="488">
        <f>L172*1390*12</f>
        <v>141446.40000000002</v>
      </c>
      <c r="N172" s="488">
        <f>M172</f>
        <v>141446.40000000002</v>
      </c>
      <c r="O172" s="470">
        <f t="shared" si="12"/>
        <v>141446.40000000002</v>
      </c>
      <c r="P172" s="488"/>
      <c r="Q172" s="622"/>
    </row>
    <row r="173" spans="1:17" ht="16.5">
      <c r="A173" s="171"/>
      <c r="B173" s="174"/>
      <c r="C173" s="170" t="s">
        <v>791</v>
      </c>
      <c r="D173" s="489">
        <v>6.15</v>
      </c>
      <c r="E173" s="488">
        <f>D173*1300*12</f>
        <v>95940.000000000015</v>
      </c>
      <c r="F173" s="488">
        <f t="shared" si="16"/>
        <v>95940.000000000015</v>
      </c>
      <c r="G173" s="484">
        <f t="shared" si="19"/>
        <v>95940.000000000015</v>
      </c>
      <c r="H173" s="488">
        <f>E173</f>
        <v>95940.000000000015</v>
      </c>
      <c r="I173" s="488"/>
      <c r="J173" s="488"/>
      <c r="K173" s="488"/>
      <c r="L173" s="489">
        <f>2.045+2.454</f>
        <v>4.4990000000000006</v>
      </c>
      <c r="M173" s="488">
        <f t="shared" ref="M173:M174" si="21">L173*1390*12</f>
        <v>75043.320000000007</v>
      </c>
      <c r="N173" s="488">
        <f>M173</f>
        <v>75043.320000000007</v>
      </c>
      <c r="O173" s="470">
        <f t="shared" si="12"/>
        <v>75043.320000000007</v>
      </c>
      <c r="P173" s="488"/>
      <c r="Q173" s="622"/>
    </row>
    <row r="174" spans="1:17" ht="16.5">
      <c r="A174" s="171"/>
      <c r="B174" s="174"/>
      <c r="C174" s="170" t="s">
        <v>733</v>
      </c>
      <c r="D174" s="489">
        <f>(7.68+0.5)*22.5%</f>
        <v>1.8405</v>
      </c>
      <c r="E174" s="488">
        <f>D174*1300*12</f>
        <v>28711.800000000003</v>
      </c>
      <c r="F174" s="488">
        <f t="shared" si="16"/>
        <v>28711.800000000003</v>
      </c>
      <c r="G174" s="484">
        <f t="shared" si="19"/>
        <v>28711.800000000003</v>
      </c>
      <c r="H174" s="488">
        <f>E174</f>
        <v>28711.800000000003</v>
      </c>
      <c r="I174" s="488"/>
      <c r="J174" s="488"/>
      <c r="K174" s="488"/>
      <c r="L174" s="489">
        <f>(7.68+0.3)*22.5%</f>
        <v>1.7954999999999999</v>
      </c>
      <c r="M174" s="488">
        <f t="shared" si="21"/>
        <v>29948.94</v>
      </c>
      <c r="N174" s="488">
        <f>M174</f>
        <v>29948.94</v>
      </c>
      <c r="O174" s="470">
        <f t="shared" si="12"/>
        <v>29948.94</v>
      </c>
      <c r="P174" s="488"/>
      <c r="Q174" s="622"/>
    </row>
    <row r="175" spans="1:17" ht="16.5">
      <c r="A175" s="171"/>
      <c r="B175" s="172"/>
      <c r="C175" s="169" t="s">
        <v>732</v>
      </c>
      <c r="D175" s="490"/>
      <c r="E175" s="491">
        <f>(D172+D174)*1210*25/75*12</f>
        <v>49951.22</v>
      </c>
      <c r="F175" s="491">
        <f t="shared" si="16"/>
        <v>49951.22</v>
      </c>
      <c r="G175" s="472">
        <f t="shared" si="19"/>
        <v>49951.22</v>
      </c>
      <c r="H175" s="491">
        <f>E175</f>
        <v>49951.22</v>
      </c>
      <c r="I175" s="491"/>
      <c r="J175" s="491"/>
      <c r="K175" s="491"/>
      <c r="L175" s="492"/>
      <c r="M175" s="491">
        <f>(L172+L174)*1210*25/75*12</f>
        <v>49733.420000000013</v>
      </c>
      <c r="N175" s="491">
        <f>M175</f>
        <v>49733.420000000013</v>
      </c>
      <c r="O175" s="466">
        <f t="shared" si="12"/>
        <v>49733.420000000013</v>
      </c>
      <c r="P175" s="491"/>
      <c r="Q175" s="622"/>
    </row>
    <row r="176" spans="1:17" ht="16.5">
      <c r="A176" s="173"/>
      <c r="B176" s="174">
        <v>15</v>
      </c>
      <c r="C176" s="169" t="s">
        <v>380</v>
      </c>
      <c r="D176" s="490"/>
      <c r="E176" s="472">
        <f>SUM(E177:E191)</f>
        <v>286500</v>
      </c>
      <c r="F176" s="491">
        <f t="shared" si="16"/>
        <v>197750</v>
      </c>
      <c r="G176" s="472">
        <f>H176+I176</f>
        <v>189500</v>
      </c>
      <c r="H176" s="472">
        <f>SUM(H177:H191)</f>
        <v>134500</v>
      </c>
      <c r="I176" s="472">
        <f>SUM(I177:I196)</f>
        <v>55000</v>
      </c>
      <c r="J176" s="472">
        <f>SUM(J177:J196)</f>
        <v>8250</v>
      </c>
      <c r="K176" s="472"/>
      <c r="L176" s="471"/>
      <c r="M176" s="472">
        <f>SUM(M177:M196)</f>
        <v>507500</v>
      </c>
      <c r="N176" s="472">
        <f>SUM(N177:N196)</f>
        <v>372500</v>
      </c>
      <c r="O176" s="466">
        <f t="shared" si="12"/>
        <v>372500</v>
      </c>
      <c r="P176" s="472"/>
      <c r="Q176" s="622"/>
    </row>
    <row r="177" spans="1:17" ht="16.5">
      <c r="A177" s="163"/>
      <c r="B177" s="161">
        <v>6.05</v>
      </c>
      <c r="C177" s="170" t="s">
        <v>729</v>
      </c>
      <c r="D177" s="490"/>
      <c r="E177" s="488">
        <f>5000+4500+4000</f>
        <v>13500</v>
      </c>
      <c r="F177" s="488">
        <f t="shared" si="16"/>
        <v>13500</v>
      </c>
      <c r="G177" s="484">
        <f t="shared" si="19"/>
        <v>13500</v>
      </c>
      <c r="H177" s="488">
        <v>13500</v>
      </c>
      <c r="I177" s="488"/>
      <c r="J177" s="488"/>
      <c r="K177" s="488"/>
      <c r="L177" s="490"/>
      <c r="M177" s="488">
        <v>13500</v>
      </c>
      <c r="N177" s="488">
        <f>M177</f>
        <v>13500</v>
      </c>
      <c r="O177" s="470">
        <f t="shared" si="12"/>
        <v>13500</v>
      </c>
      <c r="P177" s="488"/>
      <c r="Q177" s="622"/>
    </row>
    <row r="178" spans="1:17" ht="16.5">
      <c r="A178" s="159"/>
      <c r="B178" s="164">
        <v>2.42</v>
      </c>
      <c r="C178" s="170" t="s">
        <v>777</v>
      </c>
      <c r="D178" s="490"/>
      <c r="E178" s="488">
        <v>3500</v>
      </c>
      <c r="F178" s="488">
        <f t="shared" si="16"/>
        <v>3500</v>
      </c>
      <c r="G178" s="484">
        <f t="shared" si="19"/>
        <v>3500</v>
      </c>
      <c r="H178" s="488">
        <v>3500</v>
      </c>
      <c r="I178" s="488"/>
      <c r="J178" s="488"/>
      <c r="K178" s="488"/>
      <c r="L178" s="490"/>
      <c r="M178" s="488">
        <v>3500</v>
      </c>
      <c r="N178" s="488">
        <f>M178</f>
        <v>3500</v>
      </c>
      <c r="O178" s="470">
        <f t="shared" si="12"/>
        <v>3500</v>
      </c>
      <c r="P178" s="488"/>
      <c r="Q178" s="622"/>
    </row>
    <row r="179" spans="1:17" ht="30">
      <c r="A179" s="163"/>
      <c r="B179" s="160"/>
      <c r="C179" s="170" t="s">
        <v>723</v>
      </c>
      <c r="D179" s="490"/>
      <c r="E179" s="488">
        <f>3*300*5</f>
        <v>4500</v>
      </c>
      <c r="F179" s="488">
        <f t="shared" si="16"/>
        <v>4500</v>
      </c>
      <c r="G179" s="484">
        <f t="shared" si="19"/>
        <v>4500</v>
      </c>
      <c r="H179" s="488">
        <v>4500</v>
      </c>
      <c r="I179" s="488"/>
      <c r="J179" s="488"/>
      <c r="K179" s="488"/>
      <c r="L179" s="490"/>
      <c r="M179" s="488">
        <v>4500</v>
      </c>
      <c r="N179" s="488">
        <f>M179</f>
        <v>4500</v>
      </c>
      <c r="O179" s="470">
        <f t="shared" si="12"/>
        <v>4500</v>
      </c>
      <c r="P179" s="488"/>
      <c r="Q179" s="622"/>
    </row>
    <row r="180" spans="1:17" ht="16.5">
      <c r="A180" s="163"/>
      <c r="B180" s="160"/>
      <c r="C180" s="170" t="s">
        <v>730</v>
      </c>
      <c r="D180" s="490"/>
      <c r="E180" s="488">
        <v>12000</v>
      </c>
      <c r="F180" s="488">
        <f t="shared" si="16"/>
        <v>12000</v>
      </c>
      <c r="G180" s="484">
        <f t="shared" si="19"/>
        <v>12000</v>
      </c>
      <c r="H180" s="488">
        <v>12000</v>
      </c>
      <c r="I180" s="488"/>
      <c r="J180" s="488"/>
      <c r="K180" s="488"/>
      <c r="L180" s="490"/>
      <c r="M180" s="488">
        <v>12000</v>
      </c>
      <c r="N180" s="488">
        <f>M180</f>
        <v>12000</v>
      </c>
      <c r="O180" s="470">
        <f t="shared" si="12"/>
        <v>12000</v>
      </c>
      <c r="P180" s="488"/>
      <c r="Q180" s="622"/>
    </row>
    <row r="181" spans="1:17" ht="16.5">
      <c r="A181" s="163"/>
      <c r="B181" s="160"/>
      <c r="C181" s="170" t="s">
        <v>731</v>
      </c>
      <c r="D181" s="490"/>
      <c r="E181" s="488">
        <v>6000</v>
      </c>
      <c r="F181" s="488">
        <f t="shared" si="16"/>
        <v>6000</v>
      </c>
      <c r="G181" s="484">
        <f t="shared" si="19"/>
        <v>6000</v>
      </c>
      <c r="H181" s="488">
        <v>6000</v>
      </c>
      <c r="I181" s="488"/>
      <c r="J181" s="488"/>
      <c r="K181" s="488"/>
      <c r="L181" s="490"/>
      <c r="M181" s="488">
        <v>6000</v>
      </c>
      <c r="N181" s="488">
        <f>M181</f>
        <v>6000</v>
      </c>
      <c r="O181" s="470">
        <f t="shared" si="12"/>
        <v>6000</v>
      </c>
      <c r="P181" s="488"/>
      <c r="Q181" s="622"/>
    </row>
    <row r="182" spans="1:17" ht="153.75" customHeight="1">
      <c r="A182" s="163"/>
      <c r="B182" s="160"/>
      <c r="C182" s="170" t="s">
        <v>900</v>
      </c>
      <c r="D182" s="490"/>
      <c r="E182" s="488">
        <f>10000+10000+10000</f>
        <v>30000</v>
      </c>
      <c r="F182" s="488">
        <f t="shared" si="16"/>
        <v>30000</v>
      </c>
      <c r="G182" s="484">
        <f t="shared" si="19"/>
        <v>30000</v>
      </c>
      <c r="H182" s="488">
        <v>15000</v>
      </c>
      <c r="I182" s="488">
        <v>15000</v>
      </c>
      <c r="J182" s="488"/>
      <c r="K182" s="488">
        <v>13500</v>
      </c>
      <c r="L182" s="490"/>
      <c r="M182" s="488">
        <v>55000</v>
      </c>
      <c r="N182" s="488">
        <v>30000</v>
      </c>
      <c r="O182" s="470">
        <f t="shared" si="12"/>
        <v>30000</v>
      </c>
      <c r="P182" s="488"/>
      <c r="Q182" s="623" t="s">
        <v>703</v>
      </c>
    </row>
    <row r="183" spans="1:17" ht="30">
      <c r="A183" s="159"/>
      <c r="B183" s="162"/>
      <c r="C183" s="170" t="s">
        <v>901</v>
      </c>
      <c r="D183" s="490"/>
      <c r="E183" s="488">
        <v>25000</v>
      </c>
      <c r="F183" s="488">
        <f t="shared" si="16"/>
        <v>25100</v>
      </c>
      <c r="G183" s="484">
        <f t="shared" si="19"/>
        <v>20000</v>
      </c>
      <c r="H183" s="488">
        <v>10000</v>
      </c>
      <c r="I183" s="488">
        <v>10000</v>
      </c>
      <c r="J183" s="488">
        <v>5100</v>
      </c>
      <c r="K183" s="488">
        <v>9000</v>
      </c>
      <c r="L183" s="490"/>
      <c r="M183" s="488">
        <v>20000</v>
      </c>
      <c r="N183" s="488">
        <v>20000</v>
      </c>
      <c r="O183" s="470">
        <f t="shared" si="12"/>
        <v>20000</v>
      </c>
      <c r="P183" s="488"/>
      <c r="Q183" s="622"/>
    </row>
    <row r="184" spans="1:17" ht="16.5">
      <c r="A184" s="159"/>
      <c r="B184" s="162"/>
      <c r="C184" s="170" t="s">
        <v>505</v>
      </c>
      <c r="D184" s="490"/>
      <c r="E184" s="488">
        <v>40000</v>
      </c>
      <c r="F184" s="488">
        <f t="shared" si="16"/>
        <v>20000</v>
      </c>
      <c r="G184" s="484">
        <f t="shared" si="19"/>
        <v>20000</v>
      </c>
      <c r="H184" s="488">
        <v>10000</v>
      </c>
      <c r="I184" s="488">
        <v>10000</v>
      </c>
      <c r="J184" s="488"/>
      <c r="K184" s="488">
        <v>19000</v>
      </c>
      <c r="L184" s="490"/>
      <c r="M184" s="488">
        <v>20000</v>
      </c>
      <c r="N184" s="488">
        <v>20000</v>
      </c>
      <c r="O184" s="470">
        <f t="shared" si="12"/>
        <v>20000</v>
      </c>
      <c r="P184" s="488"/>
      <c r="Q184" s="357"/>
    </row>
    <row r="185" spans="1:17" ht="30">
      <c r="A185" s="159"/>
      <c r="B185" s="162"/>
      <c r="C185" s="170" t="s">
        <v>902</v>
      </c>
      <c r="D185" s="490"/>
      <c r="E185" s="488">
        <v>30000</v>
      </c>
      <c r="F185" s="488">
        <f t="shared" si="16"/>
        <v>13150</v>
      </c>
      <c r="G185" s="484">
        <f t="shared" si="19"/>
        <v>10000</v>
      </c>
      <c r="H185" s="488">
        <v>10000</v>
      </c>
      <c r="I185" s="488"/>
      <c r="J185" s="488">
        <v>3150</v>
      </c>
      <c r="K185" s="488">
        <v>9000</v>
      </c>
      <c r="L185" s="490"/>
      <c r="M185" s="488">
        <v>20000</v>
      </c>
      <c r="N185" s="488">
        <v>10000</v>
      </c>
      <c r="O185" s="470">
        <f t="shared" ref="O185:O231" si="22">N185</f>
        <v>10000</v>
      </c>
      <c r="P185" s="488"/>
      <c r="Q185" s="622"/>
    </row>
    <row r="186" spans="1:17" ht="16.5">
      <c r="A186" s="163"/>
      <c r="B186" s="165"/>
      <c r="C186" s="170" t="s">
        <v>450</v>
      </c>
      <c r="D186" s="490"/>
      <c r="E186" s="488">
        <v>16000</v>
      </c>
      <c r="F186" s="488">
        <f t="shared" si="16"/>
        <v>10000</v>
      </c>
      <c r="G186" s="484">
        <f t="shared" si="19"/>
        <v>10000</v>
      </c>
      <c r="H186" s="488">
        <v>10000</v>
      </c>
      <c r="I186" s="488"/>
      <c r="J186" s="488"/>
      <c r="K186" s="488">
        <v>9000</v>
      </c>
      <c r="L186" s="490"/>
      <c r="M186" s="488">
        <v>10000</v>
      </c>
      <c r="N186" s="488">
        <v>10000</v>
      </c>
      <c r="O186" s="470">
        <f t="shared" si="22"/>
        <v>10000</v>
      </c>
      <c r="P186" s="488"/>
      <c r="Q186" s="622"/>
    </row>
    <row r="187" spans="1:17" ht="16.5">
      <c r="A187" s="163"/>
      <c r="B187" s="164"/>
      <c r="C187" s="170" t="s">
        <v>451</v>
      </c>
      <c r="D187" s="490"/>
      <c r="E187" s="488">
        <v>16000</v>
      </c>
      <c r="F187" s="488">
        <f t="shared" si="16"/>
        <v>10000</v>
      </c>
      <c r="G187" s="484">
        <f t="shared" si="19"/>
        <v>10000</v>
      </c>
      <c r="H187" s="488">
        <v>10000</v>
      </c>
      <c r="I187" s="488"/>
      <c r="J187" s="488"/>
      <c r="K187" s="488">
        <v>9000</v>
      </c>
      <c r="L187" s="490"/>
      <c r="M187" s="488">
        <v>10000</v>
      </c>
      <c r="N187" s="488">
        <v>10000</v>
      </c>
      <c r="O187" s="470">
        <f t="shared" si="22"/>
        <v>10000</v>
      </c>
      <c r="P187" s="488"/>
      <c r="Q187" s="622"/>
    </row>
    <row r="188" spans="1:17" ht="16.5">
      <c r="A188" s="163"/>
      <c r="B188" s="164"/>
      <c r="C188" s="170" t="s">
        <v>402</v>
      </c>
      <c r="D188" s="490"/>
      <c r="E188" s="488">
        <v>20000</v>
      </c>
      <c r="F188" s="488">
        <f t="shared" si="16"/>
        <v>10000</v>
      </c>
      <c r="G188" s="484">
        <f t="shared" si="19"/>
        <v>10000</v>
      </c>
      <c r="H188" s="488">
        <v>10000</v>
      </c>
      <c r="I188" s="488"/>
      <c r="J188" s="488"/>
      <c r="K188" s="488">
        <v>9000</v>
      </c>
      <c r="L188" s="490"/>
      <c r="M188" s="488">
        <v>15000</v>
      </c>
      <c r="N188" s="488">
        <v>10000</v>
      </c>
      <c r="O188" s="470">
        <f t="shared" si="22"/>
        <v>10000</v>
      </c>
      <c r="P188" s="488"/>
      <c r="Q188" s="622"/>
    </row>
    <row r="189" spans="1:17" ht="16.5">
      <c r="A189" s="163"/>
      <c r="B189" s="161"/>
      <c r="C189" s="170" t="s">
        <v>903</v>
      </c>
      <c r="D189" s="490"/>
      <c r="E189" s="488">
        <v>20000</v>
      </c>
      <c r="F189" s="488">
        <f t="shared" si="16"/>
        <v>10000</v>
      </c>
      <c r="G189" s="484">
        <f t="shared" si="19"/>
        <v>10000</v>
      </c>
      <c r="H189" s="488">
        <v>10000</v>
      </c>
      <c r="I189" s="488"/>
      <c r="J189" s="488"/>
      <c r="K189" s="488">
        <v>9000</v>
      </c>
      <c r="L189" s="490"/>
      <c r="M189" s="488">
        <v>15000</v>
      </c>
      <c r="N189" s="488">
        <v>10000</v>
      </c>
      <c r="O189" s="470">
        <f t="shared" si="22"/>
        <v>10000</v>
      </c>
      <c r="P189" s="488"/>
      <c r="Q189" s="622"/>
    </row>
    <row r="190" spans="1:17" ht="16.5">
      <c r="A190" s="163"/>
      <c r="B190" s="161"/>
      <c r="C190" s="170" t="s">
        <v>704</v>
      </c>
      <c r="D190" s="490"/>
      <c r="E190" s="488">
        <v>30000</v>
      </c>
      <c r="F190" s="488">
        <f t="shared" si="16"/>
        <v>20000</v>
      </c>
      <c r="G190" s="484">
        <f>H190+I190</f>
        <v>20000</v>
      </c>
      <c r="H190" s="488"/>
      <c r="I190" s="488">
        <v>20000</v>
      </c>
      <c r="J190" s="488"/>
      <c r="K190" s="488">
        <v>15000</v>
      </c>
      <c r="L190" s="490"/>
      <c r="M190" s="488">
        <v>25000</v>
      </c>
      <c r="N190" s="488">
        <v>15000</v>
      </c>
      <c r="O190" s="470">
        <f t="shared" si="22"/>
        <v>15000</v>
      </c>
      <c r="P190" s="488"/>
      <c r="Q190" s="622"/>
    </row>
    <row r="191" spans="1:17" ht="16.5">
      <c r="A191" s="163"/>
      <c r="B191" s="161"/>
      <c r="C191" s="170" t="s">
        <v>705</v>
      </c>
      <c r="D191" s="490"/>
      <c r="E191" s="488">
        <v>20000</v>
      </c>
      <c r="F191" s="488">
        <f t="shared" si="16"/>
        <v>10000</v>
      </c>
      <c r="G191" s="484">
        <f t="shared" si="19"/>
        <v>10000</v>
      </c>
      <c r="H191" s="488">
        <v>10000</v>
      </c>
      <c r="I191" s="488"/>
      <c r="J191" s="488"/>
      <c r="K191" s="488">
        <v>9000</v>
      </c>
      <c r="L191" s="490"/>
      <c r="M191" s="488">
        <v>15000</v>
      </c>
      <c r="N191" s="488">
        <v>10000</v>
      </c>
      <c r="O191" s="470">
        <f t="shared" si="22"/>
        <v>10000</v>
      </c>
      <c r="P191" s="488"/>
      <c r="Q191" s="622"/>
    </row>
    <row r="192" spans="1:17" ht="16.5">
      <c r="A192" s="163"/>
      <c r="B192" s="161"/>
      <c r="C192" s="170" t="s">
        <v>904</v>
      </c>
      <c r="D192" s="490"/>
      <c r="E192" s="488"/>
      <c r="F192" s="488">
        <f t="shared" si="16"/>
        <v>0</v>
      </c>
      <c r="G192" s="484"/>
      <c r="H192" s="488"/>
      <c r="I192" s="488"/>
      <c r="J192" s="488"/>
      <c r="K192" s="488"/>
      <c r="L192" s="490"/>
      <c r="M192" s="488">
        <v>150000</v>
      </c>
      <c r="N192" s="1199">
        <v>120000</v>
      </c>
      <c r="O192" s="1207">
        <f t="shared" si="22"/>
        <v>120000</v>
      </c>
      <c r="P192" s="488"/>
      <c r="Q192" s="1165" t="s">
        <v>905</v>
      </c>
    </row>
    <row r="193" spans="1:19" ht="30">
      <c r="A193" s="163"/>
      <c r="B193" s="161"/>
      <c r="C193" s="170" t="s">
        <v>906</v>
      </c>
      <c r="D193" s="490"/>
      <c r="E193" s="488"/>
      <c r="F193" s="488">
        <f t="shared" si="16"/>
        <v>0</v>
      </c>
      <c r="G193" s="484"/>
      <c r="H193" s="488"/>
      <c r="I193" s="488"/>
      <c r="J193" s="488"/>
      <c r="K193" s="488"/>
      <c r="L193" s="490"/>
      <c r="M193" s="488">
        <v>25000</v>
      </c>
      <c r="N193" s="1200"/>
      <c r="O193" s="1208"/>
      <c r="P193" s="488"/>
      <c r="Q193" s="1183"/>
    </row>
    <row r="194" spans="1:19" ht="16.5">
      <c r="A194" s="163"/>
      <c r="B194" s="161"/>
      <c r="C194" s="170" t="s">
        <v>907</v>
      </c>
      <c r="D194" s="490"/>
      <c r="E194" s="488"/>
      <c r="F194" s="488">
        <f t="shared" si="16"/>
        <v>0</v>
      </c>
      <c r="G194" s="484"/>
      <c r="H194" s="488"/>
      <c r="I194" s="488"/>
      <c r="J194" s="488"/>
      <c r="K194" s="488"/>
      <c r="L194" s="490"/>
      <c r="M194" s="488">
        <v>70000</v>
      </c>
      <c r="N194" s="488">
        <v>50000</v>
      </c>
      <c r="O194" s="470">
        <f t="shared" si="22"/>
        <v>50000</v>
      </c>
      <c r="P194" s="488"/>
      <c r="Q194" s="634"/>
    </row>
    <row r="195" spans="1:19" ht="16.5">
      <c r="A195" s="163"/>
      <c r="B195" s="161"/>
      <c r="C195" s="170" t="s">
        <v>908</v>
      </c>
      <c r="D195" s="490"/>
      <c r="E195" s="488"/>
      <c r="F195" s="488">
        <f t="shared" ref="F195" si="23">G195+J195</f>
        <v>0</v>
      </c>
      <c r="G195" s="484"/>
      <c r="H195" s="488"/>
      <c r="I195" s="488"/>
      <c r="J195" s="488"/>
      <c r="K195" s="488"/>
      <c r="L195" s="490"/>
      <c r="M195" s="488">
        <v>9000</v>
      </c>
      <c r="N195" s="488">
        <v>9000</v>
      </c>
      <c r="O195" s="470">
        <f t="shared" si="22"/>
        <v>9000</v>
      </c>
      <c r="P195" s="488"/>
      <c r="Q195" s="622"/>
    </row>
    <row r="196" spans="1:19" ht="16.5">
      <c r="A196" s="163"/>
      <c r="B196" s="161"/>
      <c r="C196" s="170" t="s">
        <v>909</v>
      </c>
      <c r="D196" s="490"/>
      <c r="E196" s="488"/>
      <c r="F196" s="488">
        <f>G196+J196</f>
        <v>0</v>
      </c>
      <c r="G196" s="484"/>
      <c r="H196" s="488"/>
      <c r="I196" s="488"/>
      <c r="J196" s="488"/>
      <c r="K196" s="488"/>
      <c r="L196" s="490"/>
      <c r="M196" s="488">
        <v>9000</v>
      </c>
      <c r="N196" s="488">
        <v>9000</v>
      </c>
      <c r="O196" s="470">
        <v>9000</v>
      </c>
      <c r="P196" s="488"/>
      <c r="Q196" s="622"/>
    </row>
    <row r="197" spans="1:19" ht="22.5" customHeight="1">
      <c r="A197" s="478">
        <v>6</v>
      </c>
      <c r="B197" s="479"/>
      <c r="C197" s="480" t="s">
        <v>12</v>
      </c>
      <c r="D197" s="499"/>
      <c r="E197" s="482">
        <f t="shared" ref="E197" si="24">(E198+E202+E203)</f>
        <v>523028.10000000009</v>
      </c>
      <c r="F197" s="482">
        <f>(F198+F202+F203)</f>
        <v>505287.10000000009</v>
      </c>
      <c r="G197" s="482">
        <f t="shared" si="19"/>
        <v>483028.10000000009</v>
      </c>
      <c r="H197" s="482">
        <f>(H198+H202+H203)</f>
        <v>483028.10000000009</v>
      </c>
      <c r="I197" s="482">
        <f>(I198+I202+I203)</f>
        <v>0</v>
      </c>
      <c r="J197" s="482">
        <f>(J198+J202+J203)</f>
        <v>22259</v>
      </c>
      <c r="K197" s="482"/>
      <c r="L197" s="481"/>
      <c r="M197" s="482">
        <f>(M198+M202+M203)</f>
        <v>625966.1</v>
      </c>
      <c r="N197" s="482">
        <f>(N198+N202+N203)</f>
        <v>575966.1</v>
      </c>
      <c r="O197" s="466">
        <f t="shared" si="22"/>
        <v>575966.1</v>
      </c>
      <c r="P197" s="482"/>
      <c r="Q197" s="631"/>
      <c r="R197" s="500"/>
      <c r="S197" s="500"/>
    </row>
    <row r="198" spans="1:19" ht="21" customHeight="1">
      <c r="A198" s="171"/>
      <c r="B198" s="174"/>
      <c r="C198" s="169" t="s">
        <v>377</v>
      </c>
      <c r="D198" s="490"/>
      <c r="E198" s="472">
        <f>(E199+E200+E201)</f>
        <v>341513.07000000007</v>
      </c>
      <c r="F198" s="472">
        <f>(F199+F200+F201)</f>
        <v>363772.07000000007</v>
      </c>
      <c r="G198" s="472">
        <f t="shared" si="19"/>
        <v>341513.07000000007</v>
      </c>
      <c r="H198" s="472">
        <f>(H199+H200+H201)</f>
        <v>341513.07000000007</v>
      </c>
      <c r="I198" s="472">
        <f t="shared" ref="I198" si="25">(I199+I200+I201)</f>
        <v>0</v>
      </c>
      <c r="J198" s="472">
        <f>(J199+J200+J201)</f>
        <v>22259</v>
      </c>
      <c r="K198" s="472"/>
      <c r="L198" s="501"/>
      <c r="M198" s="472">
        <f>(M199+M200+M201)</f>
        <v>372435.20999999996</v>
      </c>
      <c r="N198" s="472">
        <f>(N199+N200+N201)</f>
        <v>372435.20999999996</v>
      </c>
      <c r="O198" s="466">
        <f t="shared" si="22"/>
        <v>372435.20999999996</v>
      </c>
      <c r="P198" s="472"/>
      <c r="Q198" s="622"/>
    </row>
    <row r="199" spans="1:19" ht="21" customHeight="1">
      <c r="A199" s="173"/>
      <c r="B199" s="174"/>
      <c r="C199" s="170" t="s">
        <v>101</v>
      </c>
      <c r="D199" s="489">
        <f>11.32+0.75+0.3</f>
        <v>12.370000000000001</v>
      </c>
      <c r="E199" s="488">
        <f>D199*1310*12</f>
        <v>194456.40000000002</v>
      </c>
      <c r="F199" s="488">
        <f>G199+J199</f>
        <v>216715.40000000002</v>
      </c>
      <c r="G199" s="484">
        <f t="shared" si="19"/>
        <v>194456.40000000002</v>
      </c>
      <c r="H199" s="488">
        <f>E199</f>
        <v>194456.40000000002</v>
      </c>
      <c r="I199" s="488"/>
      <c r="J199" s="488">
        <f>12060+10199</f>
        <v>22259</v>
      </c>
      <c r="K199" s="488"/>
      <c r="L199" s="489">
        <f>11.66+0.75+0.3</f>
        <v>12.71</v>
      </c>
      <c r="M199" s="488">
        <f>L199*1390*12</f>
        <v>212002.80000000002</v>
      </c>
      <c r="N199" s="488">
        <f>M199</f>
        <v>212002.80000000002</v>
      </c>
      <c r="O199" s="470">
        <f t="shared" si="22"/>
        <v>212002.80000000002</v>
      </c>
      <c r="P199" s="488"/>
      <c r="Q199" s="622"/>
    </row>
    <row r="200" spans="1:19" ht="15.75" customHeight="1">
      <c r="A200" s="171"/>
      <c r="B200" s="174"/>
      <c r="C200" s="170" t="s">
        <v>791</v>
      </c>
      <c r="D200" s="489">
        <v>6.6390000000000002</v>
      </c>
      <c r="E200" s="488">
        <f>D200*1310*12</f>
        <v>104365.08</v>
      </c>
      <c r="F200" s="488">
        <f t="shared" ref="F200:F215" si="26">G200+J200</f>
        <v>104365.08</v>
      </c>
      <c r="G200" s="484">
        <f t="shared" si="19"/>
        <v>104365.08</v>
      </c>
      <c r="H200" s="488">
        <f>E200</f>
        <v>104365.08</v>
      </c>
      <c r="I200" s="488"/>
      <c r="J200" s="488"/>
      <c r="K200" s="488"/>
      <c r="L200" s="489">
        <v>6.8259999999999996</v>
      </c>
      <c r="M200" s="488">
        <f>L200*1390*12</f>
        <v>113857.68</v>
      </c>
      <c r="N200" s="488">
        <f t="shared" ref="N200:N201" si="27">M200</f>
        <v>113857.68</v>
      </c>
      <c r="O200" s="470">
        <f t="shared" si="22"/>
        <v>113857.68</v>
      </c>
      <c r="P200" s="488"/>
      <c r="Q200" s="622"/>
    </row>
    <row r="201" spans="1:19" ht="21.75" customHeight="1">
      <c r="A201" s="171"/>
      <c r="B201" s="174"/>
      <c r="C201" s="170" t="s">
        <v>175</v>
      </c>
      <c r="D201" s="489">
        <f>(11.32+0.75)*22.5%</f>
        <v>2.7157500000000003</v>
      </c>
      <c r="E201" s="488">
        <f>D201*1310*12</f>
        <v>42691.590000000011</v>
      </c>
      <c r="F201" s="488">
        <f t="shared" si="26"/>
        <v>42691.590000000011</v>
      </c>
      <c r="G201" s="484">
        <f t="shared" si="19"/>
        <v>42691.590000000011</v>
      </c>
      <c r="H201" s="488">
        <f>E201</f>
        <v>42691.590000000011</v>
      </c>
      <c r="I201" s="488"/>
      <c r="J201" s="488"/>
      <c r="K201" s="488"/>
      <c r="L201" s="489">
        <f>(11.66+0.75)*22.5%</f>
        <v>2.7922500000000001</v>
      </c>
      <c r="M201" s="488">
        <f t="shared" ref="M201" si="28">L201*1390*12</f>
        <v>46574.729999999996</v>
      </c>
      <c r="N201" s="488">
        <f t="shared" si="27"/>
        <v>46574.729999999996</v>
      </c>
      <c r="O201" s="470">
        <f t="shared" si="22"/>
        <v>46574.729999999996</v>
      </c>
      <c r="P201" s="488"/>
      <c r="Q201" s="622"/>
    </row>
    <row r="202" spans="1:19" ht="22.5" customHeight="1">
      <c r="A202" s="171"/>
      <c r="B202" s="172"/>
      <c r="C202" s="169" t="s">
        <v>732</v>
      </c>
      <c r="D202" s="490"/>
      <c r="E202" s="491">
        <f>(D199+D201)*1210*12*25/75</f>
        <v>73015.03</v>
      </c>
      <c r="F202" s="491">
        <f t="shared" si="26"/>
        <v>73015.03</v>
      </c>
      <c r="G202" s="472">
        <f>H202+I202</f>
        <v>73015.03</v>
      </c>
      <c r="H202" s="491">
        <f>E202</f>
        <v>73015.03</v>
      </c>
      <c r="I202" s="491"/>
      <c r="J202" s="491"/>
      <c r="K202" s="491">
        <v>73015</v>
      </c>
      <c r="L202" s="492"/>
      <c r="M202" s="491">
        <f>(L199+L201)*1210*12*25/75</f>
        <v>75030.89</v>
      </c>
      <c r="N202" s="491">
        <f>M202</f>
        <v>75030.89</v>
      </c>
      <c r="O202" s="466">
        <f t="shared" si="22"/>
        <v>75030.89</v>
      </c>
      <c r="P202" s="491"/>
      <c r="Q202" s="622"/>
    </row>
    <row r="203" spans="1:19" ht="21.75" customHeight="1">
      <c r="A203" s="171"/>
      <c r="B203" s="172"/>
      <c r="C203" s="169" t="s">
        <v>380</v>
      </c>
      <c r="D203" s="490"/>
      <c r="E203" s="472">
        <f>SUM(E204:E211)</f>
        <v>108500</v>
      </c>
      <c r="F203" s="472">
        <f>SUM(F204:F211)</f>
        <v>68500</v>
      </c>
      <c r="G203" s="472">
        <f t="shared" si="19"/>
        <v>68500</v>
      </c>
      <c r="H203" s="472">
        <f>SUM(H204:H211)</f>
        <v>68500</v>
      </c>
      <c r="I203" s="472">
        <f>SUM(I204:I211)</f>
        <v>0</v>
      </c>
      <c r="J203" s="472"/>
      <c r="K203" s="472">
        <f>SUM(K204:K215)</f>
        <v>108500</v>
      </c>
      <c r="L203" s="471">
        <f>SUM(L204:L215)</f>
        <v>0</v>
      </c>
      <c r="M203" s="472">
        <f>SUM(M204:M215)</f>
        <v>178500</v>
      </c>
      <c r="N203" s="472">
        <f>SUM(N204:N215)</f>
        <v>128500</v>
      </c>
      <c r="O203" s="466">
        <f t="shared" si="22"/>
        <v>128500</v>
      </c>
      <c r="P203" s="472"/>
      <c r="Q203" s="622"/>
    </row>
    <row r="204" spans="1:19" ht="21.75" customHeight="1">
      <c r="A204" s="173"/>
      <c r="B204" s="201"/>
      <c r="C204" s="170" t="s">
        <v>800</v>
      </c>
      <c r="D204" s="490"/>
      <c r="E204" s="488">
        <v>13500</v>
      </c>
      <c r="F204" s="488">
        <f t="shared" si="26"/>
        <v>13500</v>
      </c>
      <c r="G204" s="484">
        <f t="shared" si="19"/>
        <v>13500</v>
      </c>
      <c r="H204" s="488">
        <f>E204</f>
        <v>13500</v>
      </c>
      <c r="I204" s="488"/>
      <c r="J204" s="488"/>
      <c r="K204" s="488">
        <v>13500</v>
      </c>
      <c r="L204" s="490"/>
      <c r="M204" s="488">
        <v>13500</v>
      </c>
      <c r="N204" s="488">
        <v>13500</v>
      </c>
      <c r="O204" s="470">
        <f t="shared" si="22"/>
        <v>13500</v>
      </c>
      <c r="P204" s="488"/>
      <c r="Q204" s="622"/>
    </row>
    <row r="205" spans="1:19" ht="20.25" customHeight="1">
      <c r="A205" s="173"/>
      <c r="B205" s="201"/>
      <c r="C205" s="170" t="s">
        <v>778</v>
      </c>
      <c r="D205" s="490"/>
      <c r="E205" s="488">
        <v>2500</v>
      </c>
      <c r="F205" s="488">
        <f t="shared" si="26"/>
        <v>2500</v>
      </c>
      <c r="G205" s="484">
        <f t="shared" si="19"/>
        <v>2500</v>
      </c>
      <c r="H205" s="488">
        <f>E205</f>
        <v>2500</v>
      </c>
      <c r="I205" s="488"/>
      <c r="J205" s="488"/>
      <c r="K205" s="488">
        <v>2500</v>
      </c>
      <c r="L205" s="490"/>
      <c r="M205" s="488">
        <v>2500</v>
      </c>
      <c r="N205" s="488">
        <v>2500</v>
      </c>
      <c r="O205" s="470">
        <f t="shared" si="22"/>
        <v>2500</v>
      </c>
      <c r="P205" s="488"/>
      <c r="Q205" s="622"/>
    </row>
    <row r="206" spans="1:19" ht="36.75" customHeight="1">
      <c r="A206" s="173"/>
      <c r="B206" s="201"/>
      <c r="C206" s="170" t="s">
        <v>721</v>
      </c>
      <c r="D206" s="490"/>
      <c r="E206" s="488">
        <v>4500</v>
      </c>
      <c r="F206" s="488">
        <f t="shared" si="26"/>
        <v>4500</v>
      </c>
      <c r="G206" s="484">
        <f t="shared" si="19"/>
        <v>4500</v>
      </c>
      <c r="H206" s="488">
        <f>E206</f>
        <v>4500</v>
      </c>
      <c r="I206" s="488"/>
      <c r="J206" s="488"/>
      <c r="K206" s="488">
        <v>4500</v>
      </c>
      <c r="L206" s="490"/>
      <c r="M206" s="488">
        <v>4500</v>
      </c>
      <c r="N206" s="488">
        <v>4500</v>
      </c>
      <c r="O206" s="470">
        <f t="shared" si="22"/>
        <v>4500</v>
      </c>
      <c r="P206" s="488"/>
      <c r="Q206" s="622"/>
    </row>
    <row r="207" spans="1:19" ht="24" customHeight="1">
      <c r="A207" s="173"/>
      <c r="B207" s="201"/>
      <c r="C207" s="170" t="s">
        <v>722</v>
      </c>
      <c r="D207" s="490"/>
      <c r="E207" s="488">
        <v>6000</v>
      </c>
      <c r="F207" s="488">
        <f t="shared" si="26"/>
        <v>6000</v>
      </c>
      <c r="G207" s="484">
        <f t="shared" si="19"/>
        <v>6000</v>
      </c>
      <c r="H207" s="488">
        <v>6000</v>
      </c>
      <c r="I207" s="488"/>
      <c r="J207" s="488"/>
      <c r="K207" s="488">
        <v>6000</v>
      </c>
      <c r="L207" s="490"/>
      <c r="M207" s="488">
        <v>6000</v>
      </c>
      <c r="N207" s="488">
        <v>6000</v>
      </c>
      <c r="O207" s="470">
        <f t="shared" si="22"/>
        <v>6000</v>
      </c>
      <c r="P207" s="488"/>
      <c r="Q207" s="622"/>
    </row>
    <row r="208" spans="1:19" ht="23.25" customHeight="1">
      <c r="A208" s="173"/>
      <c r="B208" s="201"/>
      <c r="C208" s="170" t="s">
        <v>746</v>
      </c>
      <c r="D208" s="490"/>
      <c r="E208" s="488">
        <v>12000</v>
      </c>
      <c r="F208" s="488">
        <f t="shared" si="26"/>
        <v>12000</v>
      </c>
      <c r="G208" s="484">
        <f t="shared" si="19"/>
        <v>12000</v>
      </c>
      <c r="H208" s="488">
        <f>E208</f>
        <v>12000</v>
      </c>
      <c r="I208" s="488"/>
      <c r="J208" s="488"/>
      <c r="K208" s="488">
        <v>12000</v>
      </c>
      <c r="L208" s="490"/>
      <c r="M208" s="488">
        <v>12000</v>
      </c>
      <c r="N208" s="488">
        <v>12000</v>
      </c>
      <c r="O208" s="470">
        <f t="shared" si="22"/>
        <v>12000</v>
      </c>
      <c r="P208" s="488"/>
      <c r="Q208" s="622"/>
    </row>
    <row r="209" spans="1:17" ht="38.25" customHeight="1">
      <c r="A209" s="173"/>
      <c r="B209" s="201"/>
      <c r="C209" s="170" t="s">
        <v>715</v>
      </c>
      <c r="D209" s="490"/>
      <c r="E209" s="488">
        <v>20000</v>
      </c>
      <c r="F209" s="488">
        <f t="shared" si="26"/>
        <v>10000</v>
      </c>
      <c r="G209" s="484">
        <f t="shared" si="19"/>
        <v>10000</v>
      </c>
      <c r="H209" s="488">
        <v>10000</v>
      </c>
      <c r="I209" s="488"/>
      <c r="J209" s="488"/>
      <c r="K209" s="488">
        <v>10000</v>
      </c>
      <c r="L209" s="490"/>
      <c r="M209" s="488">
        <v>10000</v>
      </c>
      <c r="N209" s="488">
        <v>10000</v>
      </c>
      <c r="O209" s="470">
        <f t="shared" si="22"/>
        <v>10000</v>
      </c>
      <c r="P209" s="488"/>
      <c r="Q209" s="622"/>
    </row>
    <row r="210" spans="1:17" ht="33" customHeight="1">
      <c r="A210" s="173"/>
      <c r="B210" s="201"/>
      <c r="C210" s="247" t="s">
        <v>910</v>
      </c>
      <c r="D210" s="490"/>
      <c r="E210" s="488">
        <v>30000</v>
      </c>
      <c r="F210" s="488">
        <f t="shared" si="26"/>
        <v>10000</v>
      </c>
      <c r="G210" s="484">
        <f t="shared" si="19"/>
        <v>10000</v>
      </c>
      <c r="H210" s="488">
        <v>10000</v>
      </c>
      <c r="I210" s="488"/>
      <c r="J210" s="488"/>
      <c r="K210" s="488">
        <v>10000</v>
      </c>
      <c r="L210" s="490"/>
      <c r="M210" s="488">
        <v>20000</v>
      </c>
      <c r="N210" s="488">
        <v>10000</v>
      </c>
      <c r="O210" s="470">
        <f t="shared" si="22"/>
        <v>10000</v>
      </c>
      <c r="P210" s="488"/>
      <c r="Q210" s="622"/>
    </row>
    <row r="211" spans="1:17" ht="16.5">
      <c r="A211" s="173"/>
      <c r="B211" s="201"/>
      <c r="C211" s="170" t="s">
        <v>911</v>
      </c>
      <c r="D211" s="490"/>
      <c r="E211" s="488">
        <v>20000</v>
      </c>
      <c r="F211" s="488">
        <f t="shared" si="26"/>
        <v>10000</v>
      </c>
      <c r="G211" s="484">
        <f t="shared" si="19"/>
        <v>10000</v>
      </c>
      <c r="H211" s="488">
        <v>10000</v>
      </c>
      <c r="I211" s="488"/>
      <c r="J211" s="488"/>
      <c r="K211" s="488">
        <v>10000</v>
      </c>
      <c r="L211" s="490"/>
      <c r="M211" s="488">
        <v>15000</v>
      </c>
      <c r="N211" s="488">
        <v>10000</v>
      </c>
      <c r="O211" s="470">
        <f t="shared" si="22"/>
        <v>10000</v>
      </c>
      <c r="P211" s="488"/>
      <c r="Q211" s="622"/>
    </row>
    <row r="212" spans="1:17" ht="30">
      <c r="A212" s="173"/>
      <c r="B212" s="201"/>
      <c r="C212" s="170" t="s">
        <v>912</v>
      </c>
      <c r="D212" s="490"/>
      <c r="E212" s="488"/>
      <c r="F212" s="488">
        <f t="shared" si="26"/>
        <v>0</v>
      </c>
      <c r="G212" s="484"/>
      <c r="H212" s="488"/>
      <c r="I212" s="488"/>
      <c r="J212" s="488"/>
      <c r="K212" s="488"/>
      <c r="L212" s="490"/>
      <c r="M212" s="488">
        <v>20000</v>
      </c>
      <c r="N212" s="488">
        <v>10000</v>
      </c>
      <c r="O212" s="470">
        <f t="shared" si="22"/>
        <v>10000</v>
      </c>
      <c r="P212" s="488"/>
      <c r="Q212" s="622"/>
    </row>
    <row r="213" spans="1:17" ht="30">
      <c r="A213" s="173"/>
      <c r="B213" s="201"/>
      <c r="C213" s="170" t="s">
        <v>913</v>
      </c>
      <c r="D213" s="490"/>
      <c r="E213" s="488"/>
      <c r="F213" s="488">
        <f t="shared" si="26"/>
        <v>0</v>
      </c>
      <c r="G213" s="484"/>
      <c r="H213" s="488"/>
      <c r="I213" s="488"/>
      <c r="J213" s="488"/>
      <c r="K213" s="488">
        <v>20000</v>
      </c>
      <c r="L213" s="490"/>
      <c r="M213" s="488">
        <v>30000</v>
      </c>
      <c r="N213" s="488">
        <v>20000</v>
      </c>
      <c r="O213" s="470">
        <f t="shared" si="22"/>
        <v>20000</v>
      </c>
      <c r="P213" s="488"/>
      <c r="Q213" s="622"/>
    </row>
    <row r="214" spans="1:17" ht="16.5">
      <c r="A214" s="173"/>
      <c r="B214" s="201"/>
      <c r="C214" s="170" t="s">
        <v>914</v>
      </c>
      <c r="D214" s="490"/>
      <c r="E214" s="488"/>
      <c r="F214" s="488">
        <f t="shared" si="26"/>
        <v>0</v>
      </c>
      <c r="G214" s="484"/>
      <c r="H214" s="488"/>
      <c r="I214" s="488"/>
      <c r="J214" s="488"/>
      <c r="K214" s="488">
        <v>20000</v>
      </c>
      <c r="L214" s="490"/>
      <c r="M214" s="488">
        <v>30000</v>
      </c>
      <c r="N214" s="488">
        <v>20000</v>
      </c>
      <c r="O214" s="470">
        <f t="shared" si="22"/>
        <v>20000</v>
      </c>
      <c r="P214" s="488"/>
      <c r="Q214" s="622"/>
    </row>
    <row r="215" spans="1:17" ht="16.5">
      <c r="A215" s="173"/>
      <c r="B215" s="201"/>
      <c r="C215" s="170" t="s">
        <v>915</v>
      </c>
      <c r="D215" s="490"/>
      <c r="E215" s="488"/>
      <c r="F215" s="488">
        <f t="shared" si="26"/>
        <v>0</v>
      </c>
      <c r="G215" s="484"/>
      <c r="H215" s="488"/>
      <c r="I215" s="488"/>
      <c r="J215" s="488"/>
      <c r="K215" s="488"/>
      <c r="L215" s="490"/>
      <c r="M215" s="488">
        <v>15000</v>
      </c>
      <c r="N215" s="488">
        <v>10000</v>
      </c>
      <c r="O215" s="470">
        <f t="shared" si="22"/>
        <v>10000</v>
      </c>
      <c r="P215" s="488"/>
      <c r="Q215" s="624"/>
    </row>
    <row r="216" spans="1:17" ht="16.5">
      <c r="A216" s="502">
        <v>7</v>
      </c>
      <c r="B216" s="503"/>
      <c r="C216" s="480" t="s">
        <v>259</v>
      </c>
      <c r="D216" s="490"/>
      <c r="E216" s="472">
        <f t="shared" ref="E216" si="29">(E217+E221+E222)</f>
        <v>402761.45000000007</v>
      </c>
      <c r="F216" s="472">
        <f>(F217+F221+F222)</f>
        <v>372321.45000000007</v>
      </c>
      <c r="G216" s="472">
        <f t="shared" si="19"/>
        <v>362761.45000000007</v>
      </c>
      <c r="H216" s="472">
        <f>(H217+H221+H222)</f>
        <v>362761.45000000007</v>
      </c>
      <c r="I216" s="472">
        <f t="shared" ref="I216:J216" si="30">(I217+I221+I222)</f>
        <v>0</v>
      </c>
      <c r="J216" s="472">
        <f t="shared" si="30"/>
        <v>9560</v>
      </c>
      <c r="K216" s="472"/>
      <c r="L216" s="471"/>
      <c r="M216" s="472">
        <f>(M217+M221+M222)</f>
        <v>449064.16000000003</v>
      </c>
      <c r="N216" s="472">
        <f>(N217+N221+N222)</f>
        <v>434064.16000000003</v>
      </c>
      <c r="O216" s="466">
        <f t="shared" si="22"/>
        <v>434064.16000000003</v>
      </c>
      <c r="P216" s="472"/>
      <c r="Q216" s="622"/>
    </row>
    <row r="217" spans="1:17" ht="16.5">
      <c r="A217" s="171"/>
      <c r="B217" s="206"/>
      <c r="C217" s="169" t="s">
        <v>377</v>
      </c>
      <c r="D217" s="471"/>
      <c r="E217" s="472">
        <f>(E218+E219+E220)</f>
        <v>258059.10000000003</v>
      </c>
      <c r="F217" s="472">
        <f>(F218+F219+F220)</f>
        <v>267619.10000000003</v>
      </c>
      <c r="G217" s="472">
        <f t="shared" si="19"/>
        <v>258059.10000000003</v>
      </c>
      <c r="H217" s="472">
        <f>(H218+H219+H220)</f>
        <v>258059.10000000003</v>
      </c>
      <c r="I217" s="472">
        <f t="shared" ref="I217:J217" si="31">(I218+I219+I220)</f>
        <v>0</v>
      </c>
      <c r="J217" s="472">
        <f t="shared" si="31"/>
        <v>9560</v>
      </c>
      <c r="K217" s="472"/>
      <c r="L217" s="471"/>
      <c r="M217" s="472">
        <f>(M218+M219+M220)</f>
        <v>295448.67000000004</v>
      </c>
      <c r="N217" s="472">
        <f>(N218+N219+N220)</f>
        <v>295448.67000000004</v>
      </c>
      <c r="O217" s="466">
        <f t="shared" si="22"/>
        <v>295448.67000000004</v>
      </c>
      <c r="P217" s="472"/>
      <c r="Q217" s="622"/>
    </row>
    <row r="218" spans="1:17" ht="16.5">
      <c r="A218" s="171"/>
      <c r="B218" s="174"/>
      <c r="C218" s="170" t="s">
        <v>183</v>
      </c>
      <c r="D218" s="489">
        <f>8.65+0.5+0.3</f>
        <v>9.4500000000000011</v>
      </c>
      <c r="E218" s="488">
        <f>D218*1300*12</f>
        <v>147420.00000000003</v>
      </c>
      <c r="F218" s="488">
        <f>G218+J218</f>
        <v>156980.00000000003</v>
      </c>
      <c r="G218" s="484">
        <f t="shared" si="19"/>
        <v>147420.00000000003</v>
      </c>
      <c r="H218" s="488">
        <f>E218</f>
        <v>147420.00000000003</v>
      </c>
      <c r="I218" s="488"/>
      <c r="J218" s="488">
        <v>9560</v>
      </c>
      <c r="K218" s="488"/>
      <c r="L218" s="489">
        <f>9.31+0.5+0.3</f>
        <v>10.110000000000001</v>
      </c>
      <c r="M218" s="488">
        <f>L218*1390*12</f>
        <v>168634.80000000002</v>
      </c>
      <c r="N218" s="488">
        <f>M218</f>
        <v>168634.80000000002</v>
      </c>
      <c r="O218" s="470">
        <f t="shared" si="22"/>
        <v>168634.80000000002</v>
      </c>
      <c r="P218" s="488"/>
      <c r="Q218" s="622"/>
    </row>
    <row r="219" spans="1:17" ht="16.5">
      <c r="A219" s="171"/>
      <c r="B219" s="174"/>
      <c r="C219" s="170" t="s">
        <v>13</v>
      </c>
      <c r="D219" s="489">
        <v>5.0335000000000001</v>
      </c>
      <c r="E219" s="488">
        <f>D219*1300*12</f>
        <v>78522.600000000006</v>
      </c>
      <c r="F219" s="488">
        <f t="shared" ref="F219:F250" si="32">G219+J219</f>
        <v>78522.600000000006</v>
      </c>
      <c r="G219" s="484">
        <f t="shared" si="19"/>
        <v>78522.600000000006</v>
      </c>
      <c r="H219" s="488">
        <f>E219</f>
        <v>78522.600000000006</v>
      </c>
      <c r="I219" s="488"/>
      <c r="J219" s="488"/>
      <c r="K219" s="488"/>
      <c r="L219" s="489">
        <f>2.4525+2.943</f>
        <v>5.3955000000000002</v>
      </c>
      <c r="M219" s="488">
        <f t="shared" ref="M219" si="33">L219*1390*12</f>
        <v>89996.94</v>
      </c>
      <c r="N219" s="488">
        <f t="shared" ref="N219:N220" si="34">M219</f>
        <v>89996.94</v>
      </c>
      <c r="O219" s="470">
        <f t="shared" si="22"/>
        <v>89996.94</v>
      </c>
      <c r="P219" s="488"/>
      <c r="Q219" s="622"/>
    </row>
    <row r="220" spans="1:17" ht="16.5">
      <c r="A220" s="171"/>
      <c r="B220" s="174"/>
      <c r="C220" s="170" t="s">
        <v>733</v>
      </c>
      <c r="D220" s="489">
        <f>(8.65+0.5)*22.5%</f>
        <v>2.0587500000000003</v>
      </c>
      <c r="E220" s="488">
        <f>D220*1300*12</f>
        <v>32116.500000000007</v>
      </c>
      <c r="F220" s="488">
        <f t="shared" si="32"/>
        <v>32116.500000000007</v>
      </c>
      <c r="G220" s="484">
        <f t="shared" si="19"/>
        <v>32116.500000000007</v>
      </c>
      <c r="H220" s="488">
        <f>E220</f>
        <v>32116.500000000007</v>
      </c>
      <c r="I220" s="488"/>
      <c r="J220" s="488"/>
      <c r="K220" s="488"/>
      <c r="L220" s="489">
        <f>(9.31+0.5)*22.5%</f>
        <v>2.2072500000000002</v>
      </c>
      <c r="M220" s="488">
        <f>L220*1390*12</f>
        <v>36816.930000000008</v>
      </c>
      <c r="N220" s="488">
        <f t="shared" si="34"/>
        <v>36816.930000000008</v>
      </c>
      <c r="O220" s="470">
        <f t="shared" si="22"/>
        <v>36816.930000000008</v>
      </c>
      <c r="P220" s="488"/>
      <c r="Q220" s="622"/>
    </row>
    <row r="221" spans="1:17" ht="16.5">
      <c r="A221" s="171"/>
      <c r="B221" s="174"/>
      <c r="C221" s="169" t="s">
        <v>732</v>
      </c>
      <c r="D221" s="490"/>
      <c r="E221" s="491">
        <f>(D218+D220)*1210*12*25/75</f>
        <v>55702.350000000006</v>
      </c>
      <c r="F221" s="491">
        <f>G221+J221</f>
        <v>55702.350000000006</v>
      </c>
      <c r="G221" s="472">
        <f>H221+I221</f>
        <v>55702.350000000006</v>
      </c>
      <c r="H221" s="491">
        <f>E221</f>
        <v>55702.350000000006</v>
      </c>
      <c r="I221" s="491"/>
      <c r="J221" s="491"/>
      <c r="K221" s="491"/>
      <c r="L221" s="492"/>
      <c r="M221" s="491">
        <f>(L218+L220)*1210*25/75*12</f>
        <v>59615.490000000005</v>
      </c>
      <c r="N221" s="491">
        <f>M221</f>
        <v>59615.490000000005</v>
      </c>
      <c r="O221" s="466">
        <f t="shared" si="22"/>
        <v>59615.490000000005</v>
      </c>
      <c r="P221" s="491"/>
      <c r="Q221" s="622"/>
    </row>
    <row r="222" spans="1:17" ht="16.5">
      <c r="A222" s="171"/>
      <c r="B222" s="172"/>
      <c r="C222" s="169" t="s">
        <v>380</v>
      </c>
      <c r="D222" s="471">
        <f>SUM(D223:D227)</f>
        <v>0</v>
      </c>
      <c r="E222" s="472">
        <f>SUM(E223:E228)</f>
        <v>89000</v>
      </c>
      <c r="F222" s="491">
        <f t="shared" si="32"/>
        <v>49000</v>
      </c>
      <c r="G222" s="472">
        <f t="shared" si="19"/>
        <v>49000</v>
      </c>
      <c r="H222" s="472">
        <f>SUM(H223:H228)</f>
        <v>49000</v>
      </c>
      <c r="I222" s="472">
        <f>SUM(I223:I228)</f>
        <v>0</v>
      </c>
      <c r="J222" s="472">
        <f>SUM(J223:J228)</f>
        <v>0</v>
      </c>
      <c r="K222" s="472"/>
      <c r="L222" s="471"/>
      <c r="M222" s="472">
        <f>SUM(M223:M230)</f>
        <v>94000</v>
      </c>
      <c r="N222" s="472">
        <f>SUM(N223:N230)</f>
        <v>79000</v>
      </c>
      <c r="O222" s="466">
        <f t="shared" si="22"/>
        <v>79000</v>
      </c>
      <c r="P222" s="472"/>
      <c r="Q222" s="622"/>
    </row>
    <row r="223" spans="1:17" ht="16.5">
      <c r="A223" s="173"/>
      <c r="B223" s="174">
        <v>14.99</v>
      </c>
      <c r="C223" s="170" t="s">
        <v>801</v>
      </c>
      <c r="D223" s="490"/>
      <c r="E223" s="488">
        <v>13500</v>
      </c>
      <c r="F223" s="488">
        <f t="shared" si="32"/>
        <v>13500</v>
      </c>
      <c r="G223" s="484">
        <f t="shared" si="19"/>
        <v>13500</v>
      </c>
      <c r="H223" s="488">
        <v>13500</v>
      </c>
      <c r="I223" s="488"/>
      <c r="J223" s="488"/>
      <c r="K223" s="488">
        <v>13500</v>
      </c>
      <c r="L223" s="490"/>
      <c r="M223" s="488">
        <v>13500</v>
      </c>
      <c r="N223" s="488">
        <f>M223</f>
        <v>13500</v>
      </c>
      <c r="O223" s="470">
        <f t="shared" si="22"/>
        <v>13500</v>
      </c>
      <c r="P223" s="488"/>
      <c r="Q223" s="622"/>
    </row>
    <row r="224" spans="1:17" ht="16.5">
      <c r="A224" s="173"/>
      <c r="B224" s="201">
        <f>(10.65+0.65)*55%</f>
        <v>6.2150000000000007</v>
      </c>
      <c r="C224" s="170" t="s">
        <v>14</v>
      </c>
      <c r="D224" s="490"/>
      <c r="E224" s="488">
        <v>3000</v>
      </c>
      <c r="F224" s="488">
        <f t="shared" si="32"/>
        <v>3000</v>
      </c>
      <c r="G224" s="484">
        <f t="shared" si="19"/>
        <v>3000</v>
      </c>
      <c r="H224" s="488">
        <v>3000</v>
      </c>
      <c r="I224" s="488"/>
      <c r="J224" s="488"/>
      <c r="K224" s="488">
        <v>3000</v>
      </c>
      <c r="L224" s="490"/>
      <c r="M224" s="488">
        <v>3000</v>
      </c>
      <c r="N224" s="488">
        <f>M224</f>
        <v>3000</v>
      </c>
      <c r="O224" s="470">
        <f t="shared" si="22"/>
        <v>3000</v>
      </c>
      <c r="P224" s="488"/>
      <c r="Q224" s="622"/>
    </row>
    <row r="225" spans="1:17" ht="30">
      <c r="A225" s="173"/>
      <c r="B225" s="201">
        <f>(10.65+0.65)*22%</f>
        <v>2.4860000000000002</v>
      </c>
      <c r="C225" s="170" t="s">
        <v>723</v>
      </c>
      <c r="D225" s="490"/>
      <c r="E225" s="488">
        <v>4500</v>
      </c>
      <c r="F225" s="488">
        <f t="shared" si="32"/>
        <v>4500</v>
      </c>
      <c r="G225" s="484">
        <f t="shared" si="19"/>
        <v>4500</v>
      </c>
      <c r="H225" s="488">
        <v>4500</v>
      </c>
      <c r="I225" s="488"/>
      <c r="J225" s="488"/>
      <c r="K225" s="488">
        <v>4500</v>
      </c>
      <c r="L225" s="490"/>
      <c r="M225" s="488">
        <v>4500</v>
      </c>
      <c r="N225" s="488">
        <f>M225</f>
        <v>4500</v>
      </c>
      <c r="O225" s="470">
        <f t="shared" si="22"/>
        <v>4500</v>
      </c>
      <c r="P225" s="488"/>
      <c r="Q225" s="622"/>
    </row>
    <row r="226" spans="1:17" ht="16.5">
      <c r="A226" s="173"/>
      <c r="B226" s="201"/>
      <c r="C226" s="170" t="s">
        <v>916</v>
      </c>
      <c r="D226" s="490"/>
      <c r="E226" s="488">
        <v>12000</v>
      </c>
      <c r="F226" s="488">
        <f t="shared" si="32"/>
        <v>12000</v>
      </c>
      <c r="G226" s="484">
        <f t="shared" ref="G226:G283" si="35">H226+I226</f>
        <v>12000</v>
      </c>
      <c r="H226" s="488">
        <v>12000</v>
      </c>
      <c r="I226" s="488"/>
      <c r="J226" s="488"/>
      <c r="K226" s="488">
        <v>12000</v>
      </c>
      <c r="L226" s="490"/>
      <c r="M226" s="488">
        <v>12000</v>
      </c>
      <c r="N226" s="488">
        <f>M226</f>
        <v>12000</v>
      </c>
      <c r="O226" s="470">
        <f t="shared" si="22"/>
        <v>12000</v>
      </c>
      <c r="P226" s="488"/>
      <c r="Q226" s="622"/>
    </row>
    <row r="227" spans="1:17" ht="16.5">
      <c r="A227" s="173"/>
      <c r="B227" s="175"/>
      <c r="C227" s="170" t="s">
        <v>312</v>
      </c>
      <c r="D227" s="490"/>
      <c r="E227" s="488">
        <v>6000</v>
      </c>
      <c r="F227" s="488">
        <f t="shared" si="32"/>
        <v>6000</v>
      </c>
      <c r="G227" s="484">
        <f t="shared" si="35"/>
        <v>6000</v>
      </c>
      <c r="H227" s="488">
        <v>6000</v>
      </c>
      <c r="I227" s="488"/>
      <c r="J227" s="488"/>
      <c r="K227" s="488">
        <v>6000</v>
      </c>
      <c r="L227" s="490"/>
      <c r="M227" s="488">
        <v>6000</v>
      </c>
      <c r="N227" s="488">
        <f>M227</f>
        <v>6000</v>
      </c>
      <c r="O227" s="470">
        <f t="shared" si="22"/>
        <v>6000</v>
      </c>
      <c r="P227" s="488"/>
      <c r="Q227" s="622"/>
    </row>
    <row r="228" spans="1:17" ht="16.5">
      <c r="A228" s="173"/>
      <c r="B228" s="175"/>
      <c r="C228" s="170" t="s">
        <v>184</v>
      </c>
      <c r="D228" s="490"/>
      <c r="E228" s="488">
        <v>50000</v>
      </c>
      <c r="F228" s="488">
        <f t="shared" si="32"/>
        <v>10000</v>
      </c>
      <c r="G228" s="484">
        <f t="shared" si="35"/>
        <v>10000</v>
      </c>
      <c r="H228" s="488">
        <v>10000</v>
      </c>
      <c r="I228" s="488"/>
      <c r="J228" s="488"/>
      <c r="K228" s="488">
        <v>10000</v>
      </c>
      <c r="L228" s="490"/>
      <c r="M228" s="488">
        <v>10000</v>
      </c>
      <c r="N228" s="488">
        <v>10000</v>
      </c>
      <c r="O228" s="470">
        <f t="shared" si="22"/>
        <v>10000</v>
      </c>
      <c r="P228" s="488"/>
      <c r="Q228" s="622"/>
    </row>
    <row r="229" spans="1:17" ht="16.5">
      <c r="A229" s="173"/>
      <c r="B229" s="175"/>
      <c r="C229" s="170" t="s">
        <v>917</v>
      </c>
      <c r="D229" s="490"/>
      <c r="E229" s="488"/>
      <c r="F229" s="488">
        <f t="shared" si="32"/>
        <v>0</v>
      </c>
      <c r="G229" s="484"/>
      <c r="H229" s="488"/>
      <c r="I229" s="488"/>
      <c r="J229" s="488"/>
      <c r="K229" s="488"/>
      <c r="L229" s="490"/>
      <c r="M229" s="488">
        <v>15000</v>
      </c>
      <c r="N229" s="488">
        <v>10000</v>
      </c>
      <c r="O229" s="470">
        <f t="shared" si="22"/>
        <v>10000</v>
      </c>
      <c r="P229" s="488"/>
      <c r="Q229" s="622"/>
    </row>
    <row r="230" spans="1:17" ht="32.25" customHeight="1">
      <c r="A230" s="173"/>
      <c r="B230" s="175"/>
      <c r="C230" s="170" t="s">
        <v>918</v>
      </c>
      <c r="D230" s="490"/>
      <c r="E230" s="488"/>
      <c r="F230" s="488"/>
      <c r="G230" s="484"/>
      <c r="H230" s="488"/>
      <c r="I230" s="488"/>
      <c r="J230" s="488"/>
      <c r="K230" s="488"/>
      <c r="L230" s="490"/>
      <c r="M230" s="488">
        <v>30000</v>
      </c>
      <c r="N230" s="488">
        <v>20000</v>
      </c>
      <c r="O230" s="470">
        <f t="shared" si="22"/>
        <v>20000</v>
      </c>
      <c r="P230" s="488"/>
      <c r="Q230" s="357" t="s">
        <v>1186</v>
      </c>
    </row>
    <row r="231" spans="1:17" ht="16.5">
      <c r="A231" s="478">
        <v>8</v>
      </c>
      <c r="B231" s="504"/>
      <c r="C231" s="480" t="s">
        <v>15</v>
      </c>
      <c r="D231" s="499"/>
      <c r="E231" s="482">
        <f t="shared" ref="E231:J231" si="36">(E232+E236+E237)</f>
        <v>370310.66399999999</v>
      </c>
      <c r="F231" s="491">
        <f t="shared" si="32"/>
        <v>364090.66399999999</v>
      </c>
      <c r="G231" s="482">
        <f t="shared" si="35"/>
        <v>354310.66399999999</v>
      </c>
      <c r="H231" s="482">
        <f t="shared" si="36"/>
        <v>354310.66399999999</v>
      </c>
      <c r="I231" s="482">
        <f t="shared" si="36"/>
        <v>0</v>
      </c>
      <c r="J231" s="482">
        <f t="shared" si="36"/>
        <v>9780</v>
      </c>
      <c r="K231" s="472"/>
      <c r="L231" s="471"/>
      <c r="M231" s="472">
        <f t="shared" ref="M231" si="37">(M232+M236+M237)</f>
        <v>471633.73199999996</v>
      </c>
      <c r="N231" s="472">
        <f>(N232+N236+N237)</f>
        <v>436633.73199999996</v>
      </c>
      <c r="O231" s="466">
        <f t="shared" si="22"/>
        <v>436633.73199999996</v>
      </c>
      <c r="P231" s="472"/>
      <c r="Q231" s="622"/>
    </row>
    <row r="232" spans="1:17" ht="16.5">
      <c r="A232" s="171"/>
      <c r="B232" s="172"/>
      <c r="C232" s="169" t="s">
        <v>377</v>
      </c>
      <c r="D232" s="490"/>
      <c r="E232" s="472">
        <f>(E233+E234+E235)</f>
        <v>250342.56</v>
      </c>
      <c r="F232" s="491">
        <f t="shared" si="32"/>
        <v>260122.56</v>
      </c>
      <c r="G232" s="472">
        <f t="shared" si="35"/>
        <v>250342.56</v>
      </c>
      <c r="H232" s="472">
        <f>(H233+H234+H235)</f>
        <v>250342.56</v>
      </c>
      <c r="I232" s="472">
        <f t="shared" ref="I232:J232" si="38">(I233+I234+I235)</f>
        <v>0</v>
      </c>
      <c r="J232" s="472">
        <f t="shared" si="38"/>
        <v>9780</v>
      </c>
      <c r="K232" s="472"/>
      <c r="L232" s="496"/>
      <c r="M232" s="472">
        <f>(M233+M234+M235)</f>
        <v>267665.62799999997</v>
      </c>
      <c r="N232" s="472">
        <f>(N233+N234+N235)</f>
        <v>267665.62799999997</v>
      </c>
      <c r="O232" s="466">
        <f t="shared" ref="O232:O291" si="39">N232</f>
        <v>267665.62799999997</v>
      </c>
      <c r="P232" s="472"/>
      <c r="Q232" s="622"/>
    </row>
    <row r="233" spans="1:17" ht="16.5">
      <c r="A233" s="171"/>
      <c r="B233" s="201"/>
      <c r="C233" s="170" t="s">
        <v>101</v>
      </c>
      <c r="D233" s="489">
        <f>9.33+0.7+0.3</f>
        <v>10.33</v>
      </c>
      <c r="E233" s="488">
        <f>D233*1300*12</f>
        <v>161148</v>
      </c>
      <c r="F233" s="488">
        <f t="shared" si="32"/>
        <v>170928</v>
      </c>
      <c r="G233" s="484">
        <f t="shared" si="35"/>
        <v>161148</v>
      </c>
      <c r="H233" s="488">
        <f>E233</f>
        <v>161148</v>
      </c>
      <c r="I233" s="488"/>
      <c r="J233" s="488">
        <v>9780</v>
      </c>
      <c r="K233" s="488"/>
      <c r="L233" s="489">
        <f>9.33+0.7+0.3</f>
        <v>10.33</v>
      </c>
      <c r="M233" s="488">
        <f>L233*1390*12</f>
        <v>172304.40000000002</v>
      </c>
      <c r="N233" s="488">
        <f>M233</f>
        <v>172304.40000000002</v>
      </c>
      <c r="O233" s="470">
        <f t="shared" si="39"/>
        <v>172304.40000000002</v>
      </c>
      <c r="P233" s="488"/>
      <c r="Q233" s="622"/>
    </row>
    <row r="234" spans="1:17" ht="16.5">
      <c r="A234" s="171" t="s">
        <v>63</v>
      </c>
      <c r="B234" s="201"/>
      <c r="C234" s="170" t="s">
        <v>16</v>
      </c>
      <c r="D234" s="489">
        <v>5.5170000000000003</v>
      </c>
      <c r="E234" s="488">
        <f>D234*1300*12</f>
        <v>86065.200000000012</v>
      </c>
      <c r="F234" s="488">
        <f t="shared" si="32"/>
        <v>86065.200000000012</v>
      </c>
      <c r="G234" s="484">
        <f t="shared" si="35"/>
        <v>86065.200000000012</v>
      </c>
      <c r="H234" s="488">
        <f>E234</f>
        <v>86065.200000000012</v>
      </c>
      <c r="I234" s="488"/>
      <c r="J234" s="488"/>
      <c r="K234" s="488"/>
      <c r="L234" s="489">
        <f>2.5075+3.009</f>
        <v>5.5164999999999997</v>
      </c>
      <c r="M234" s="488">
        <f t="shared" ref="M234:M235" si="40">L234*1390*12</f>
        <v>92015.22</v>
      </c>
      <c r="N234" s="488">
        <f t="shared" ref="N234:N235" si="41">M234</f>
        <v>92015.22</v>
      </c>
      <c r="O234" s="470">
        <f t="shared" si="39"/>
        <v>92015.22</v>
      </c>
      <c r="P234" s="488"/>
      <c r="Q234" s="622"/>
    </row>
    <row r="235" spans="1:17" ht="16.5">
      <c r="A235" s="173"/>
      <c r="B235" s="174"/>
      <c r="C235" s="170" t="s">
        <v>695</v>
      </c>
      <c r="D235" s="489">
        <f>(9.33+0.7)*2%</f>
        <v>0.2006</v>
      </c>
      <c r="E235" s="488">
        <f>D235*1300*12</f>
        <v>3129.3599999999997</v>
      </c>
      <c r="F235" s="488">
        <f t="shared" si="32"/>
        <v>3129.3599999999997</v>
      </c>
      <c r="G235" s="484">
        <f t="shared" si="35"/>
        <v>3129.3599999999997</v>
      </c>
      <c r="H235" s="488">
        <f>E235</f>
        <v>3129.3599999999997</v>
      </c>
      <c r="I235" s="488"/>
      <c r="J235" s="488"/>
      <c r="K235" s="488"/>
      <c r="L235" s="489">
        <f>(9.33+0.7)*2%</f>
        <v>0.2006</v>
      </c>
      <c r="M235" s="488">
        <f t="shared" si="40"/>
        <v>3346.0079999999998</v>
      </c>
      <c r="N235" s="488">
        <f t="shared" si="41"/>
        <v>3346.0079999999998</v>
      </c>
      <c r="O235" s="470">
        <f t="shared" si="39"/>
        <v>3346.0079999999998</v>
      </c>
      <c r="P235" s="488"/>
      <c r="Q235" s="622"/>
    </row>
    <row r="236" spans="1:17" ht="16.5">
      <c r="A236" s="171"/>
      <c r="B236" s="174"/>
      <c r="C236" s="169" t="s">
        <v>5</v>
      </c>
      <c r="D236" s="492"/>
      <c r="E236" s="491">
        <f>(D233+D235)*1210*12*25/75</f>
        <v>50968.104000000007</v>
      </c>
      <c r="F236" s="491">
        <f t="shared" si="32"/>
        <v>50968.104000000007</v>
      </c>
      <c r="G236" s="472">
        <f>H236+I236</f>
        <v>50968.104000000007</v>
      </c>
      <c r="H236" s="491">
        <f>E236</f>
        <v>50968.104000000007</v>
      </c>
      <c r="I236" s="491"/>
      <c r="J236" s="491"/>
      <c r="K236" s="491"/>
      <c r="L236" s="497"/>
      <c r="M236" s="491">
        <f>(L233+L235)*1210*25/75*12</f>
        <v>50968.104000000007</v>
      </c>
      <c r="N236" s="491">
        <f>M236</f>
        <v>50968.104000000007</v>
      </c>
      <c r="O236" s="466">
        <f t="shared" si="39"/>
        <v>50968.104000000007</v>
      </c>
      <c r="P236" s="491"/>
      <c r="Q236" s="622"/>
    </row>
    <row r="237" spans="1:17" ht="16.5">
      <c r="A237" s="171"/>
      <c r="B237" s="174"/>
      <c r="C237" s="169" t="s">
        <v>380</v>
      </c>
      <c r="D237" s="471">
        <f t="shared" ref="D237:E237" si="42">SUM(D238:D246)</f>
        <v>0</v>
      </c>
      <c r="E237" s="472">
        <f t="shared" si="42"/>
        <v>69000</v>
      </c>
      <c r="F237" s="491">
        <f t="shared" si="32"/>
        <v>53000</v>
      </c>
      <c r="G237" s="472">
        <f t="shared" si="35"/>
        <v>53000</v>
      </c>
      <c r="H237" s="472">
        <f>SUM(H238:H246)</f>
        <v>53000</v>
      </c>
      <c r="I237" s="472">
        <f>SUM(I238:I246)</f>
        <v>0</v>
      </c>
      <c r="J237" s="472"/>
      <c r="K237" s="472"/>
      <c r="L237" s="471"/>
      <c r="M237" s="472">
        <f>SUM(M238:M247)</f>
        <v>153000</v>
      </c>
      <c r="N237" s="472">
        <f>SUM(N238:N247)</f>
        <v>118000</v>
      </c>
      <c r="O237" s="466">
        <f t="shared" si="39"/>
        <v>118000</v>
      </c>
      <c r="P237" s="472"/>
      <c r="Q237" s="622"/>
    </row>
    <row r="238" spans="1:17" ht="16.5">
      <c r="A238" s="171"/>
      <c r="B238" s="174"/>
      <c r="C238" s="170" t="s">
        <v>185</v>
      </c>
      <c r="D238" s="490"/>
      <c r="E238" s="488">
        <f>5000+4500+4000</f>
        <v>13500</v>
      </c>
      <c r="F238" s="488">
        <f t="shared" si="32"/>
        <v>13500</v>
      </c>
      <c r="G238" s="484">
        <f t="shared" si="35"/>
        <v>13500</v>
      </c>
      <c r="H238" s="488">
        <f>E238</f>
        <v>13500</v>
      </c>
      <c r="I238" s="488"/>
      <c r="J238" s="488"/>
      <c r="K238" s="488">
        <v>13500</v>
      </c>
      <c r="L238" s="490"/>
      <c r="M238" s="488">
        <v>13500</v>
      </c>
      <c r="N238" s="488">
        <v>13500</v>
      </c>
      <c r="O238" s="470">
        <f t="shared" si="39"/>
        <v>13500</v>
      </c>
      <c r="P238" s="488"/>
      <c r="Q238" s="622"/>
    </row>
    <row r="239" spans="1:17" ht="16.5">
      <c r="A239" s="173"/>
      <c r="B239" s="174"/>
      <c r="C239" s="170" t="s">
        <v>567</v>
      </c>
      <c r="D239" s="490"/>
      <c r="E239" s="488">
        <v>2000</v>
      </c>
      <c r="F239" s="488">
        <f t="shared" si="32"/>
        <v>2000</v>
      </c>
      <c r="G239" s="484">
        <f t="shared" si="35"/>
        <v>2000</v>
      </c>
      <c r="H239" s="488">
        <f>E239</f>
        <v>2000</v>
      </c>
      <c r="I239" s="488"/>
      <c r="J239" s="488"/>
      <c r="K239" s="488">
        <v>2000</v>
      </c>
      <c r="L239" s="490"/>
      <c r="M239" s="488">
        <v>2000</v>
      </c>
      <c r="N239" s="488">
        <v>2000</v>
      </c>
      <c r="O239" s="470">
        <f t="shared" si="39"/>
        <v>2000</v>
      </c>
      <c r="P239" s="488"/>
      <c r="Q239" s="622"/>
    </row>
    <row r="240" spans="1:17" ht="30">
      <c r="A240" s="173"/>
      <c r="B240" s="174">
        <v>13.68</v>
      </c>
      <c r="C240" s="170" t="s">
        <v>723</v>
      </c>
      <c r="D240" s="490"/>
      <c r="E240" s="488">
        <v>4500</v>
      </c>
      <c r="F240" s="488">
        <f t="shared" si="32"/>
        <v>4500</v>
      </c>
      <c r="G240" s="484">
        <f t="shared" si="35"/>
        <v>4500</v>
      </c>
      <c r="H240" s="488">
        <f>E240</f>
        <v>4500</v>
      </c>
      <c r="I240" s="488"/>
      <c r="J240" s="488"/>
      <c r="K240" s="488">
        <v>4500</v>
      </c>
      <c r="L240" s="490"/>
      <c r="M240" s="488">
        <v>4500</v>
      </c>
      <c r="N240" s="488">
        <v>4500</v>
      </c>
      <c r="O240" s="470">
        <f t="shared" si="39"/>
        <v>4500</v>
      </c>
      <c r="P240" s="488"/>
      <c r="Q240" s="622"/>
    </row>
    <row r="241" spans="1:17" ht="16.5">
      <c r="A241" s="173"/>
      <c r="B241" s="174">
        <f>(9.33+0.7+0.26)*55%</f>
        <v>5.6595000000000004</v>
      </c>
      <c r="C241" s="170" t="s">
        <v>235</v>
      </c>
      <c r="D241" s="490"/>
      <c r="E241" s="488">
        <v>6000</v>
      </c>
      <c r="F241" s="488">
        <f t="shared" si="32"/>
        <v>6000</v>
      </c>
      <c r="G241" s="484">
        <f t="shared" si="35"/>
        <v>6000</v>
      </c>
      <c r="H241" s="488">
        <v>6000</v>
      </c>
      <c r="I241" s="488"/>
      <c r="J241" s="488"/>
      <c r="K241" s="488">
        <v>6000</v>
      </c>
      <c r="L241" s="490"/>
      <c r="M241" s="488">
        <v>6000</v>
      </c>
      <c r="N241" s="488">
        <v>6000</v>
      </c>
      <c r="O241" s="470">
        <f t="shared" si="39"/>
        <v>6000</v>
      </c>
      <c r="P241" s="488"/>
      <c r="Q241" s="622"/>
    </row>
    <row r="242" spans="1:17" ht="16.5">
      <c r="A242" s="173"/>
      <c r="B242" s="174"/>
      <c r="C242" s="170" t="s">
        <v>252</v>
      </c>
      <c r="D242" s="490"/>
      <c r="E242" s="488">
        <v>12000</v>
      </c>
      <c r="F242" s="488">
        <f t="shared" si="32"/>
        <v>12000</v>
      </c>
      <c r="G242" s="484">
        <f t="shared" si="35"/>
        <v>12000</v>
      </c>
      <c r="H242" s="488">
        <f>E242</f>
        <v>12000</v>
      </c>
      <c r="I242" s="488"/>
      <c r="J242" s="488"/>
      <c r="K242" s="488">
        <v>12000</v>
      </c>
      <c r="L242" s="490"/>
      <c r="M242" s="488">
        <v>12000</v>
      </c>
      <c r="N242" s="488">
        <v>12000</v>
      </c>
      <c r="O242" s="470">
        <f t="shared" si="39"/>
        <v>12000</v>
      </c>
      <c r="P242" s="488"/>
      <c r="Q242" s="622"/>
    </row>
    <row r="243" spans="1:17" ht="16.5">
      <c r="A243" s="173"/>
      <c r="B243" s="174"/>
      <c r="C243" s="170" t="s">
        <v>803</v>
      </c>
      <c r="D243" s="490"/>
      <c r="E243" s="488">
        <v>10000</v>
      </c>
      <c r="F243" s="488">
        <f t="shared" si="32"/>
        <v>10000</v>
      </c>
      <c r="G243" s="484">
        <f t="shared" si="35"/>
        <v>10000</v>
      </c>
      <c r="H243" s="488">
        <v>10000</v>
      </c>
      <c r="I243" s="488"/>
      <c r="J243" s="488"/>
      <c r="K243" s="488">
        <v>10000</v>
      </c>
      <c r="L243" s="490"/>
      <c r="M243" s="488">
        <v>15000</v>
      </c>
      <c r="N243" s="488">
        <v>15000</v>
      </c>
      <c r="O243" s="470">
        <f t="shared" si="39"/>
        <v>15000</v>
      </c>
      <c r="P243" s="488"/>
      <c r="Q243" s="622"/>
    </row>
    <row r="244" spans="1:17" ht="16.5">
      <c r="A244" s="173"/>
      <c r="B244" s="174"/>
      <c r="C244" s="170" t="s">
        <v>253</v>
      </c>
      <c r="D244" s="490"/>
      <c r="E244" s="488">
        <v>5000</v>
      </c>
      <c r="F244" s="488">
        <f t="shared" si="32"/>
        <v>5000</v>
      </c>
      <c r="G244" s="484">
        <f t="shared" si="35"/>
        <v>5000</v>
      </c>
      <c r="H244" s="488">
        <v>5000</v>
      </c>
      <c r="I244" s="488"/>
      <c r="J244" s="488"/>
      <c r="K244" s="488">
        <v>5000</v>
      </c>
      <c r="L244" s="490"/>
      <c r="M244" s="488">
        <v>5000</v>
      </c>
      <c r="N244" s="488">
        <v>5000</v>
      </c>
      <c r="O244" s="470">
        <f t="shared" si="39"/>
        <v>5000</v>
      </c>
      <c r="P244" s="488"/>
      <c r="Q244" s="622"/>
    </row>
    <row r="245" spans="1:17" ht="60">
      <c r="A245" s="173"/>
      <c r="B245" s="174"/>
      <c r="C245" s="170" t="s">
        <v>919</v>
      </c>
      <c r="D245" s="490"/>
      <c r="E245" s="488">
        <v>6000</v>
      </c>
      <c r="F245" s="488">
        <f t="shared" si="32"/>
        <v>0</v>
      </c>
      <c r="G245" s="484">
        <f t="shared" si="35"/>
        <v>0</v>
      </c>
      <c r="H245" s="488"/>
      <c r="I245" s="488"/>
      <c r="J245" s="488"/>
      <c r="K245" s="488"/>
      <c r="L245" s="490"/>
      <c r="M245" s="488">
        <v>60000</v>
      </c>
      <c r="N245" s="488">
        <v>25000</v>
      </c>
      <c r="O245" s="470">
        <v>25000</v>
      </c>
      <c r="P245" s="488"/>
      <c r="Q245" s="358" t="s">
        <v>1172</v>
      </c>
    </row>
    <row r="246" spans="1:17" ht="16.5">
      <c r="A246" s="173"/>
      <c r="B246" s="174"/>
      <c r="C246" s="170" t="s">
        <v>920</v>
      </c>
      <c r="D246" s="490"/>
      <c r="E246" s="488">
        <v>10000</v>
      </c>
      <c r="F246" s="488">
        <f t="shared" si="32"/>
        <v>0</v>
      </c>
      <c r="G246" s="484">
        <f t="shared" si="35"/>
        <v>0</v>
      </c>
      <c r="H246" s="488"/>
      <c r="I246" s="488"/>
      <c r="J246" s="488"/>
      <c r="K246" s="488"/>
      <c r="L246" s="490"/>
      <c r="M246" s="488">
        <v>15000</v>
      </c>
      <c r="N246" s="488">
        <v>15000</v>
      </c>
      <c r="O246" s="470">
        <f t="shared" si="39"/>
        <v>15000</v>
      </c>
      <c r="P246" s="488"/>
      <c r="Q246" s="357"/>
    </row>
    <row r="247" spans="1:17" ht="45">
      <c r="A247" s="173"/>
      <c r="B247" s="174"/>
      <c r="C247" s="170" t="s">
        <v>921</v>
      </c>
      <c r="D247" s="490"/>
      <c r="E247" s="488"/>
      <c r="F247" s="488">
        <f t="shared" si="32"/>
        <v>0</v>
      </c>
      <c r="G247" s="484"/>
      <c r="H247" s="488"/>
      <c r="I247" s="488"/>
      <c r="J247" s="488"/>
      <c r="K247" s="488"/>
      <c r="L247" s="490"/>
      <c r="M247" s="488">
        <v>20000</v>
      </c>
      <c r="N247" s="488">
        <v>20000</v>
      </c>
      <c r="O247" s="470">
        <f t="shared" si="39"/>
        <v>20000</v>
      </c>
      <c r="P247" s="488"/>
      <c r="Q247" s="357"/>
    </row>
    <row r="248" spans="1:17" ht="16.5">
      <c r="A248" s="171">
        <v>9</v>
      </c>
      <c r="B248" s="174"/>
      <c r="C248" s="169" t="s">
        <v>793</v>
      </c>
      <c r="D248" s="490"/>
      <c r="E248" s="472">
        <f>E249+E250</f>
        <v>368712</v>
      </c>
      <c r="F248" s="491">
        <f t="shared" si="32"/>
        <v>368712</v>
      </c>
      <c r="G248" s="472">
        <f t="shared" si="35"/>
        <v>368712</v>
      </c>
      <c r="H248" s="472">
        <f>H249+H250</f>
        <v>368712</v>
      </c>
      <c r="I248" s="472">
        <f t="shared" ref="I248" si="43">I249+I250</f>
        <v>0</v>
      </c>
      <c r="J248" s="472"/>
      <c r="K248" s="472"/>
      <c r="L248" s="471"/>
      <c r="M248" s="472">
        <f>M249+M250</f>
        <v>368712</v>
      </c>
      <c r="N248" s="472">
        <f>N249+N250</f>
        <v>368712</v>
      </c>
      <c r="O248" s="466">
        <f t="shared" si="39"/>
        <v>368712</v>
      </c>
      <c r="P248" s="472"/>
      <c r="Q248" s="622"/>
    </row>
    <row r="249" spans="1:17" ht="16.5">
      <c r="A249" s="173"/>
      <c r="B249" s="206"/>
      <c r="C249" s="170" t="s">
        <v>794</v>
      </c>
      <c r="D249" s="490"/>
      <c r="E249" s="461">
        <v>39204</v>
      </c>
      <c r="F249" s="488">
        <f t="shared" si="32"/>
        <v>39204</v>
      </c>
      <c r="G249" s="484">
        <f t="shared" si="35"/>
        <v>39204</v>
      </c>
      <c r="H249" s="461">
        <v>39204</v>
      </c>
      <c r="I249" s="461"/>
      <c r="J249" s="461"/>
      <c r="K249" s="461"/>
      <c r="L249" s="490"/>
      <c r="M249" s="461">
        <v>39204</v>
      </c>
      <c r="N249" s="461">
        <v>39204</v>
      </c>
      <c r="O249" s="470">
        <f t="shared" si="39"/>
        <v>39204</v>
      </c>
      <c r="P249" s="461"/>
      <c r="Q249" s="622"/>
    </row>
    <row r="250" spans="1:17" ht="16.5">
      <c r="A250" s="171"/>
      <c r="B250" s="201"/>
      <c r="C250" s="170" t="s">
        <v>445</v>
      </c>
      <c r="D250" s="490"/>
      <c r="E250" s="461">
        <v>329508</v>
      </c>
      <c r="F250" s="488">
        <f t="shared" si="32"/>
        <v>329508</v>
      </c>
      <c r="G250" s="484">
        <f t="shared" si="35"/>
        <v>329508</v>
      </c>
      <c r="H250" s="461">
        <f>E250</f>
        <v>329508</v>
      </c>
      <c r="I250" s="461"/>
      <c r="J250" s="461"/>
      <c r="K250" s="461"/>
      <c r="L250" s="490"/>
      <c r="M250" s="461">
        <v>329508</v>
      </c>
      <c r="N250" s="461">
        <f>M250</f>
        <v>329508</v>
      </c>
      <c r="O250" s="470">
        <f t="shared" si="39"/>
        <v>329508</v>
      </c>
      <c r="P250" s="461"/>
      <c r="Q250" s="622"/>
    </row>
    <row r="251" spans="1:17" ht="16.5">
      <c r="A251" s="478">
        <v>10</v>
      </c>
      <c r="B251" s="479"/>
      <c r="C251" s="480" t="s">
        <v>311</v>
      </c>
      <c r="D251" s="499"/>
      <c r="E251" s="482">
        <f>(E252+E256+E257)</f>
        <v>1647970.3220000002</v>
      </c>
      <c r="F251" s="472">
        <f>(F252+F256+F257)</f>
        <v>1657229.3220000002</v>
      </c>
      <c r="G251" s="472">
        <f t="shared" si="35"/>
        <v>1586970.3220000002</v>
      </c>
      <c r="H251" s="472">
        <f>(H252+H256+H257)</f>
        <v>1486970.3220000002</v>
      </c>
      <c r="I251" s="472">
        <f>(I252+I256+I257)</f>
        <v>100000</v>
      </c>
      <c r="J251" s="472">
        <f>(J252+J256+J257)</f>
        <v>70259</v>
      </c>
      <c r="K251" s="472"/>
      <c r="L251" s="471"/>
      <c r="M251" s="472">
        <f>(M252+M256+M257)</f>
        <v>1725686.4120000002</v>
      </c>
      <c r="N251" s="472">
        <f>(N252+N256+N257)</f>
        <v>1725686.4120000002</v>
      </c>
      <c r="O251" s="466">
        <f t="shared" si="39"/>
        <v>1725686.4120000002</v>
      </c>
      <c r="P251" s="472"/>
      <c r="Q251" s="622"/>
    </row>
    <row r="252" spans="1:17" ht="16.5">
      <c r="A252" s="173"/>
      <c r="B252" s="174"/>
      <c r="C252" s="169" t="s">
        <v>377</v>
      </c>
      <c r="D252" s="471"/>
      <c r="E252" s="472">
        <f>(E253+E254+E255)</f>
        <v>904449.78</v>
      </c>
      <c r="F252" s="472">
        <f>(F253+F254+F255)</f>
        <v>974708.78</v>
      </c>
      <c r="G252" s="472">
        <f t="shared" si="35"/>
        <v>904449.78</v>
      </c>
      <c r="H252" s="472">
        <f>(H253+H254+H255)</f>
        <v>904449.78</v>
      </c>
      <c r="I252" s="472">
        <f t="shared" ref="I252:J252" si="44">(I253+I254+I255)</f>
        <v>0</v>
      </c>
      <c r="J252" s="472">
        <f t="shared" si="44"/>
        <v>70259</v>
      </c>
      <c r="K252" s="472"/>
      <c r="L252" s="496"/>
      <c r="M252" s="472">
        <f>(M253+M254+M255)</f>
        <v>1014800.3580000002</v>
      </c>
      <c r="N252" s="472">
        <f>(N253+N254+N255)</f>
        <v>1014800.3580000002</v>
      </c>
      <c r="O252" s="466">
        <f t="shared" si="39"/>
        <v>1014800.3580000002</v>
      </c>
      <c r="P252" s="472"/>
      <c r="Q252" s="622"/>
    </row>
    <row r="253" spans="1:17" ht="16.5">
      <c r="A253" s="171"/>
      <c r="B253" s="174"/>
      <c r="C253" s="170" t="s">
        <v>226</v>
      </c>
      <c r="D253" s="489">
        <f>(34.5+0.398+0.7+0.8+0.2+5.5)</f>
        <v>42.098000000000006</v>
      </c>
      <c r="E253" s="488">
        <f>D253*1300*12</f>
        <v>656728.80000000005</v>
      </c>
      <c r="F253" s="488">
        <f>G253+J253</f>
        <v>726987.8</v>
      </c>
      <c r="G253" s="484">
        <f t="shared" si="35"/>
        <v>656728.80000000005</v>
      </c>
      <c r="H253" s="488">
        <f>E253</f>
        <v>656728.80000000005</v>
      </c>
      <c r="I253" s="488"/>
      <c r="J253" s="488">
        <v>70259</v>
      </c>
      <c r="K253" s="488"/>
      <c r="L253" s="505">
        <f>35.17+0.7+0.856+0.8+5.64+0.2</f>
        <v>43.366000000000007</v>
      </c>
      <c r="M253" s="488">
        <f>L253*1390*12</f>
        <v>723344.88000000012</v>
      </c>
      <c r="N253" s="488">
        <f>M253</f>
        <v>723344.88000000012</v>
      </c>
      <c r="O253" s="470">
        <f t="shared" si="39"/>
        <v>723344.88000000012</v>
      </c>
      <c r="P253" s="488"/>
      <c r="Q253" s="622"/>
    </row>
    <row r="254" spans="1:17" ht="16.5">
      <c r="A254" s="171"/>
      <c r="B254" s="174"/>
      <c r="C254" s="170" t="s">
        <v>795</v>
      </c>
      <c r="D254" s="489">
        <v>7.87</v>
      </c>
      <c r="E254" s="488">
        <f>D254*1300*12</f>
        <v>122772</v>
      </c>
      <c r="F254" s="488">
        <f t="shared" ref="F254:F312" si="45">G254+J254</f>
        <v>122772</v>
      </c>
      <c r="G254" s="484">
        <f t="shared" si="35"/>
        <v>122772</v>
      </c>
      <c r="H254" s="488">
        <f>E254</f>
        <v>122772</v>
      </c>
      <c r="I254" s="488"/>
      <c r="J254" s="488"/>
      <c r="K254" s="488"/>
      <c r="L254" s="505">
        <v>9.2100000000000009</v>
      </c>
      <c r="M254" s="488">
        <f>L254*1390*12</f>
        <v>153622.80000000002</v>
      </c>
      <c r="N254" s="488">
        <f t="shared" ref="N254:N255" si="46">M254</f>
        <v>153622.80000000002</v>
      </c>
      <c r="O254" s="470">
        <f t="shared" si="39"/>
        <v>153622.80000000002</v>
      </c>
      <c r="P254" s="488"/>
      <c r="Q254" s="622"/>
    </row>
    <row r="255" spans="1:17" ht="16.5">
      <c r="A255" s="171"/>
      <c r="B255" s="174"/>
      <c r="C255" s="170" t="s">
        <v>175</v>
      </c>
      <c r="D255" s="489">
        <f>(34.5+0.398+0.7)*22.5%</f>
        <v>8.0095500000000008</v>
      </c>
      <c r="E255" s="488">
        <f>D255*1300*12</f>
        <v>124948.98000000001</v>
      </c>
      <c r="F255" s="488">
        <f t="shared" si="45"/>
        <v>124948.98000000001</v>
      </c>
      <c r="G255" s="484">
        <f t="shared" si="35"/>
        <v>124948.98000000001</v>
      </c>
      <c r="H255" s="488">
        <f>E255</f>
        <v>124948.98000000001</v>
      </c>
      <c r="I255" s="488"/>
      <c r="J255" s="488"/>
      <c r="K255" s="488"/>
      <c r="L255" s="505">
        <f>(35.17+0.7+0.856)*22.5%</f>
        <v>8.2633500000000009</v>
      </c>
      <c r="M255" s="488">
        <f>L255*1390*12</f>
        <v>137832.67800000001</v>
      </c>
      <c r="N255" s="488">
        <f t="shared" si="46"/>
        <v>137832.67800000001</v>
      </c>
      <c r="O255" s="470">
        <f t="shared" si="39"/>
        <v>137832.67800000001</v>
      </c>
      <c r="P255" s="488"/>
      <c r="Q255" s="622"/>
    </row>
    <row r="256" spans="1:17" ht="16.5">
      <c r="A256" s="171"/>
      <c r="B256" s="174"/>
      <c r="C256" s="169" t="s">
        <v>732</v>
      </c>
      <c r="D256" s="490"/>
      <c r="E256" s="491">
        <f>(D253+D255)*1210*25/75*12</f>
        <v>242520.54200000004</v>
      </c>
      <c r="F256" s="491">
        <f t="shared" si="45"/>
        <v>242520.54200000004</v>
      </c>
      <c r="G256" s="472">
        <f t="shared" si="35"/>
        <v>242520.54200000004</v>
      </c>
      <c r="H256" s="491">
        <f>E256</f>
        <v>242520.54200000004</v>
      </c>
      <c r="I256" s="491"/>
      <c r="J256" s="491"/>
      <c r="K256" s="491"/>
      <c r="L256" s="492"/>
      <c r="M256" s="491">
        <f>(L253+L255)*1210*25/75*12</f>
        <v>249886.054</v>
      </c>
      <c r="N256" s="491">
        <f>M256</f>
        <v>249886.054</v>
      </c>
      <c r="O256" s="466">
        <f t="shared" si="39"/>
        <v>249886.054</v>
      </c>
      <c r="P256" s="491"/>
      <c r="Q256" s="622"/>
    </row>
    <row r="257" spans="1:17" ht="16.5">
      <c r="A257" s="171"/>
      <c r="B257" s="174"/>
      <c r="C257" s="169" t="s">
        <v>380</v>
      </c>
      <c r="D257" s="490"/>
      <c r="E257" s="472">
        <f>SUM(E258:E264)</f>
        <v>501000</v>
      </c>
      <c r="F257" s="491">
        <f t="shared" si="45"/>
        <v>440000</v>
      </c>
      <c r="G257" s="472">
        <f>SUM(G258:G264)</f>
        <v>440000</v>
      </c>
      <c r="H257" s="472">
        <f>SUM(H258:H264)</f>
        <v>340000</v>
      </c>
      <c r="I257" s="472">
        <f>SUM(I258:I264)</f>
        <v>100000</v>
      </c>
      <c r="J257" s="472"/>
      <c r="K257" s="472"/>
      <c r="L257" s="471"/>
      <c r="M257" s="472">
        <f>SUM(M258:M264)</f>
        <v>461000</v>
      </c>
      <c r="N257" s="472">
        <f>SUM(N258:N264)</f>
        <v>461000</v>
      </c>
      <c r="O257" s="466">
        <f t="shared" si="39"/>
        <v>461000</v>
      </c>
      <c r="P257" s="472"/>
      <c r="Q257" s="622"/>
    </row>
    <row r="258" spans="1:17" ht="16.5">
      <c r="A258" s="171"/>
      <c r="B258" s="172"/>
      <c r="C258" s="170" t="s">
        <v>802</v>
      </c>
      <c r="D258" s="490"/>
      <c r="E258" s="488">
        <v>34000</v>
      </c>
      <c r="F258" s="488">
        <f t="shared" si="45"/>
        <v>34000</v>
      </c>
      <c r="G258" s="506">
        <v>34000</v>
      </c>
      <c r="H258" s="506">
        <v>34000</v>
      </c>
      <c r="I258" s="506"/>
      <c r="J258" s="484"/>
      <c r="K258" s="484"/>
      <c r="L258" s="485"/>
      <c r="M258" s="484">
        <v>34000</v>
      </c>
      <c r="N258" s="484">
        <v>34000</v>
      </c>
      <c r="O258" s="470">
        <f t="shared" si="39"/>
        <v>34000</v>
      </c>
      <c r="P258" s="484"/>
      <c r="Q258" s="635"/>
    </row>
    <row r="259" spans="1:17" ht="18.75" customHeight="1">
      <c r="A259" s="173"/>
      <c r="B259" s="174">
        <v>46</v>
      </c>
      <c r="C259" s="170" t="s">
        <v>716</v>
      </c>
      <c r="D259" s="490"/>
      <c r="E259" s="488">
        <v>3000</v>
      </c>
      <c r="F259" s="488">
        <f t="shared" si="45"/>
        <v>3000</v>
      </c>
      <c r="G259" s="507">
        <v>3000</v>
      </c>
      <c r="H259" s="508">
        <v>3000</v>
      </c>
      <c r="I259" s="508"/>
      <c r="J259" s="484"/>
      <c r="K259" s="484"/>
      <c r="L259" s="485"/>
      <c r="M259" s="484">
        <v>3000</v>
      </c>
      <c r="N259" s="484">
        <v>3000</v>
      </c>
      <c r="O259" s="470">
        <f t="shared" si="39"/>
        <v>3000</v>
      </c>
      <c r="P259" s="484"/>
      <c r="Q259" s="635"/>
    </row>
    <row r="260" spans="1:17" ht="30.75" customHeight="1">
      <c r="A260" s="171"/>
      <c r="B260" s="174">
        <f>(42.45+0.7+1.55)*25%</f>
        <v>11.175000000000001</v>
      </c>
      <c r="C260" s="170" t="s">
        <v>227</v>
      </c>
      <c r="D260" s="487"/>
      <c r="E260" s="488">
        <v>12000</v>
      </c>
      <c r="F260" s="488">
        <f t="shared" si="45"/>
        <v>12000</v>
      </c>
      <c r="G260" s="507">
        <v>12000</v>
      </c>
      <c r="H260" s="508">
        <v>12000</v>
      </c>
      <c r="I260" s="508"/>
      <c r="J260" s="484"/>
      <c r="K260" s="484"/>
      <c r="L260" s="485"/>
      <c r="M260" s="484">
        <v>12000</v>
      </c>
      <c r="N260" s="484">
        <v>12000</v>
      </c>
      <c r="O260" s="470">
        <f t="shared" si="39"/>
        <v>12000</v>
      </c>
      <c r="P260" s="484"/>
      <c r="Q260" s="635"/>
    </row>
    <row r="261" spans="1:17" ht="20.25" customHeight="1">
      <c r="A261" s="171"/>
      <c r="B261" s="174">
        <f>(42.45+0.7+1.55)*22%</f>
        <v>9.8340000000000014</v>
      </c>
      <c r="C261" s="170" t="s">
        <v>189</v>
      </c>
      <c r="D261" s="490"/>
      <c r="E261" s="488">
        <v>16000</v>
      </c>
      <c r="F261" s="488">
        <f t="shared" si="45"/>
        <v>16000</v>
      </c>
      <c r="G261" s="507">
        <v>16000</v>
      </c>
      <c r="H261" s="508">
        <v>16000</v>
      </c>
      <c r="I261" s="508"/>
      <c r="J261" s="484"/>
      <c r="K261" s="484"/>
      <c r="L261" s="485"/>
      <c r="M261" s="484">
        <v>16000</v>
      </c>
      <c r="N261" s="484">
        <v>16000</v>
      </c>
      <c r="O261" s="470">
        <f t="shared" si="39"/>
        <v>16000</v>
      </c>
      <c r="P261" s="484"/>
      <c r="Q261" s="635"/>
    </row>
    <row r="262" spans="1:17" s="118" customFormat="1" ht="131.25" customHeight="1">
      <c r="A262" s="173"/>
      <c r="B262" s="175"/>
      <c r="C262" s="170" t="s">
        <v>922</v>
      </c>
      <c r="D262" s="490"/>
      <c r="E262" s="488">
        <v>400000</v>
      </c>
      <c r="F262" s="488">
        <f t="shared" si="45"/>
        <v>339000</v>
      </c>
      <c r="G262" s="507">
        <f>H262+I262</f>
        <v>339000</v>
      </c>
      <c r="H262" s="508">
        <f>229000+44000-34000</f>
        <v>239000</v>
      </c>
      <c r="I262" s="508">
        <v>100000</v>
      </c>
      <c r="J262" s="484"/>
      <c r="K262" s="484"/>
      <c r="L262" s="485"/>
      <c r="M262" s="484">
        <v>360000</v>
      </c>
      <c r="N262" s="484">
        <v>360000</v>
      </c>
      <c r="O262" s="470">
        <f t="shared" si="39"/>
        <v>360000</v>
      </c>
      <c r="P262" s="484"/>
      <c r="Q262" s="635"/>
    </row>
    <row r="263" spans="1:17" ht="16.5">
      <c r="A263" s="173"/>
      <c r="B263" s="175"/>
      <c r="C263" s="170" t="s">
        <v>452</v>
      </c>
      <c r="D263" s="490"/>
      <c r="E263" s="488">
        <v>24000</v>
      </c>
      <c r="F263" s="488">
        <f t="shared" si="45"/>
        <v>24000</v>
      </c>
      <c r="G263" s="507">
        <v>24000</v>
      </c>
      <c r="H263" s="508">
        <v>24000</v>
      </c>
      <c r="I263" s="508"/>
      <c r="J263" s="508"/>
      <c r="K263" s="508"/>
      <c r="L263" s="509"/>
      <c r="M263" s="508">
        <v>24000</v>
      </c>
      <c r="N263" s="508">
        <v>24000</v>
      </c>
      <c r="O263" s="470">
        <f t="shared" si="39"/>
        <v>24000</v>
      </c>
      <c r="P263" s="508"/>
      <c r="Q263" s="635"/>
    </row>
    <row r="264" spans="1:17" ht="16.5">
      <c r="A264" s="173"/>
      <c r="B264" s="175"/>
      <c r="C264" s="170" t="s">
        <v>747</v>
      </c>
      <c r="D264" s="490"/>
      <c r="E264" s="488">
        <v>12000</v>
      </c>
      <c r="F264" s="488">
        <f t="shared" si="45"/>
        <v>12000</v>
      </c>
      <c r="G264" s="507">
        <v>12000</v>
      </c>
      <c r="H264" s="508">
        <v>12000</v>
      </c>
      <c r="I264" s="508"/>
      <c r="J264" s="508"/>
      <c r="K264" s="508"/>
      <c r="L264" s="509"/>
      <c r="M264" s="508">
        <v>12000</v>
      </c>
      <c r="N264" s="508">
        <v>12000</v>
      </c>
      <c r="O264" s="470">
        <f t="shared" si="39"/>
        <v>12000</v>
      </c>
      <c r="P264" s="508"/>
      <c r="Q264" s="635"/>
    </row>
    <row r="265" spans="1:17" ht="16.5">
      <c r="A265" s="478">
        <v>11</v>
      </c>
      <c r="B265" s="498"/>
      <c r="C265" s="480" t="s">
        <v>170</v>
      </c>
      <c r="D265" s="481"/>
      <c r="E265" s="482" t="e">
        <f>(#REF!+#REF!)</f>
        <v>#REF!</v>
      </c>
      <c r="F265" s="491">
        <f t="shared" si="45"/>
        <v>228000</v>
      </c>
      <c r="G265" s="482">
        <f>SUM(G266:G278)</f>
        <v>228000</v>
      </c>
      <c r="H265" s="482">
        <f t="shared" ref="H265:N265" si="47">SUM(H266:H278)</f>
        <v>188000</v>
      </c>
      <c r="I265" s="482">
        <f t="shared" si="47"/>
        <v>40000</v>
      </c>
      <c r="J265" s="482">
        <f t="shared" si="47"/>
        <v>0</v>
      </c>
      <c r="K265" s="482">
        <f t="shared" si="47"/>
        <v>0</v>
      </c>
      <c r="L265" s="481">
        <f t="shared" si="47"/>
        <v>0</v>
      </c>
      <c r="M265" s="482">
        <f t="shared" si="47"/>
        <v>249500</v>
      </c>
      <c r="N265" s="482">
        <f t="shared" si="47"/>
        <v>249500</v>
      </c>
      <c r="O265" s="466">
        <f t="shared" si="39"/>
        <v>249500</v>
      </c>
      <c r="P265" s="482"/>
      <c r="Q265" s="631"/>
    </row>
    <row r="266" spans="1:17" ht="16.5">
      <c r="A266" s="171"/>
      <c r="B266" s="174"/>
      <c r="C266" s="211" t="s">
        <v>923</v>
      </c>
      <c r="D266" s="490"/>
      <c r="E266" s="488">
        <f>5000+4500+3*4000</f>
        <v>21500</v>
      </c>
      <c r="F266" s="488">
        <f t="shared" si="45"/>
        <v>21500</v>
      </c>
      <c r="G266" s="484">
        <f t="shared" si="35"/>
        <v>21500</v>
      </c>
      <c r="H266" s="488">
        <f>E266</f>
        <v>21500</v>
      </c>
      <c r="I266" s="488"/>
      <c r="J266" s="488"/>
      <c r="K266" s="488"/>
      <c r="L266" s="490"/>
      <c r="M266" s="488">
        <f>5000+4500*2+4000*2</f>
        <v>22000</v>
      </c>
      <c r="N266" s="488">
        <f>M266</f>
        <v>22000</v>
      </c>
      <c r="O266" s="470">
        <f t="shared" si="39"/>
        <v>22000</v>
      </c>
      <c r="P266" s="488"/>
      <c r="Q266" s="622"/>
    </row>
    <row r="267" spans="1:17" ht="16.5">
      <c r="A267" s="171"/>
      <c r="B267" s="174"/>
      <c r="C267" s="177" t="s">
        <v>74</v>
      </c>
      <c r="D267" s="490"/>
      <c r="E267" s="488">
        <v>6000</v>
      </c>
      <c r="F267" s="488">
        <f t="shared" si="45"/>
        <v>6000</v>
      </c>
      <c r="G267" s="484">
        <f t="shared" si="35"/>
        <v>6000</v>
      </c>
      <c r="H267" s="488">
        <f t="shared" ref="H267:H276" si="48">E267</f>
        <v>6000</v>
      </c>
      <c r="I267" s="488"/>
      <c r="J267" s="488"/>
      <c r="K267" s="488"/>
      <c r="L267" s="490"/>
      <c r="M267" s="488">
        <v>6000</v>
      </c>
      <c r="N267" s="488">
        <f>M267</f>
        <v>6000</v>
      </c>
      <c r="O267" s="470">
        <f t="shared" si="39"/>
        <v>6000</v>
      </c>
      <c r="P267" s="488"/>
      <c r="Q267" s="622"/>
    </row>
    <row r="268" spans="1:17" ht="30">
      <c r="A268" s="171"/>
      <c r="B268" s="175"/>
      <c r="C268" s="170" t="s">
        <v>663</v>
      </c>
      <c r="D268" s="490"/>
      <c r="E268" s="488">
        <f>5*300*5</f>
        <v>7500</v>
      </c>
      <c r="F268" s="488">
        <f t="shared" si="45"/>
        <v>7500</v>
      </c>
      <c r="G268" s="484">
        <f t="shared" si="35"/>
        <v>7500</v>
      </c>
      <c r="H268" s="488">
        <f t="shared" si="48"/>
        <v>7500</v>
      </c>
      <c r="I268" s="488"/>
      <c r="J268" s="488"/>
      <c r="K268" s="488"/>
      <c r="L268" s="490"/>
      <c r="M268" s="488">
        <v>7500</v>
      </c>
      <c r="N268" s="488">
        <f>M268</f>
        <v>7500</v>
      </c>
      <c r="O268" s="470">
        <f t="shared" si="39"/>
        <v>7500</v>
      </c>
      <c r="P268" s="488"/>
      <c r="Q268" s="622"/>
    </row>
    <row r="269" spans="1:17" ht="16.5">
      <c r="A269" s="171"/>
      <c r="B269" s="175"/>
      <c r="C269" s="170" t="s">
        <v>179</v>
      </c>
      <c r="D269" s="490"/>
      <c r="E269" s="488">
        <v>10000</v>
      </c>
      <c r="F269" s="488">
        <f t="shared" si="45"/>
        <v>10000</v>
      </c>
      <c r="G269" s="484">
        <f t="shared" si="35"/>
        <v>10000</v>
      </c>
      <c r="H269" s="488">
        <v>10000</v>
      </c>
      <c r="I269" s="488"/>
      <c r="J269" s="488"/>
      <c r="K269" s="488"/>
      <c r="L269" s="490"/>
      <c r="M269" s="488">
        <v>10000</v>
      </c>
      <c r="N269" s="488">
        <f>M269</f>
        <v>10000</v>
      </c>
      <c r="O269" s="470">
        <f t="shared" si="39"/>
        <v>10000</v>
      </c>
      <c r="P269" s="488"/>
      <c r="Q269" s="622"/>
    </row>
    <row r="270" spans="1:17" ht="16.5">
      <c r="A270" s="171"/>
      <c r="B270" s="175"/>
      <c r="C270" s="170" t="s">
        <v>748</v>
      </c>
      <c r="D270" s="490"/>
      <c r="E270" s="488">
        <v>12000</v>
      </c>
      <c r="F270" s="488">
        <f t="shared" si="45"/>
        <v>12000</v>
      </c>
      <c r="G270" s="484">
        <f t="shared" si="35"/>
        <v>12000</v>
      </c>
      <c r="H270" s="488">
        <f t="shared" si="48"/>
        <v>12000</v>
      </c>
      <c r="I270" s="488"/>
      <c r="J270" s="488"/>
      <c r="K270" s="488"/>
      <c r="L270" s="490"/>
      <c r="M270" s="488">
        <v>12000</v>
      </c>
      <c r="N270" s="488">
        <f>M270</f>
        <v>12000</v>
      </c>
      <c r="O270" s="470">
        <f t="shared" si="39"/>
        <v>12000</v>
      </c>
      <c r="P270" s="488"/>
      <c r="Q270" s="622"/>
    </row>
    <row r="271" spans="1:17" ht="16.5">
      <c r="A271" s="171"/>
      <c r="B271" s="175"/>
      <c r="C271" s="170" t="s">
        <v>171</v>
      </c>
      <c r="D271" s="490"/>
      <c r="E271" s="488">
        <v>50000</v>
      </c>
      <c r="F271" s="488">
        <f t="shared" si="45"/>
        <v>50000</v>
      </c>
      <c r="G271" s="484">
        <f t="shared" si="35"/>
        <v>50000</v>
      </c>
      <c r="H271" s="488">
        <v>30000</v>
      </c>
      <c r="I271" s="488">
        <v>20000</v>
      </c>
      <c r="J271" s="488"/>
      <c r="K271" s="488"/>
      <c r="L271" s="490"/>
      <c r="M271" s="488">
        <v>50000</v>
      </c>
      <c r="N271" s="488">
        <v>50000</v>
      </c>
      <c r="O271" s="470">
        <f t="shared" si="39"/>
        <v>50000</v>
      </c>
      <c r="P271" s="488"/>
      <c r="Q271" s="622"/>
    </row>
    <row r="272" spans="1:17" ht="16.5">
      <c r="A272" s="171"/>
      <c r="B272" s="175"/>
      <c r="C272" s="177" t="s">
        <v>236</v>
      </c>
      <c r="D272" s="490"/>
      <c r="E272" s="488">
        <v>40000</v>
      </c>
      <c r="F272" s="488">
        <f t="shared" si="45"/>
        <v>40000</v>
      </c>
      <c r="G272" s="484">
        <f t="shared" si="35"/>
        <v>40000</v>
      </c>
      <c r="H272" s="488">
        <v>20000</v>
      </c>
      <c r="I272" s="488">
        <v>20000</v>
      </c>
      <c r="J272" s="488"/>
      <c r="K272" s="488"/>
      <c r="L272" s="490"/>
      <c r="M272" s="488">
        <v>40000</v>
      </c>
      <c r="N272" s="488">
        <v>40000</v>
      </c>
      <c r="O272" s="470">
        <f t="shared" si="39"/>
        <v>40000</v>
      </c>
      <c r="P272" s="488"/>
      <c r="Q272" s="622"/>
    </row>
    <row r="273" spans="1:17" ht="16.5">
      <c r="A273" s="171"/>
      <c r="B273" s="175"/>
      <c r="C273" s="177" t="s">
        <v>172</v>
      </c>
      <c r="D273" s="490"/>
      <c r="E273" s="488">
        <v>36000</v>
      </c>
      <c r="F273" s="488">
        <f t="shared" si="45"/>
        <v>36000</v>
      </c>
      <c r="G273" s="484">
        <f t="shared" si="35"/>
        <v>36000</v>
      </c>
      <c r="H273" s="488">
        <f t="shared" si="48"/>
        <v>36000</v>
      </c>
      <c r="I273" s="488"/>
      <c r="J273" s="488"/>
      <c r="K273" s="488"/>
      <c r="L273" s="490"/>
      <c r="M273" s="488">
        <v>36000</v>
      </c>
      <c r="N273" s="488">
        <v>36000</v>
      </c>
      <c r="O273" s="470">
        <f t="shared" si="39"/>
        <v>36000</v>
      </c>
      <c r="P273" s="488"/>
      <c r="Q273" s="622"/>
    </row>
    <row r="274" spans="1:17" ht="16.5">
      <c r="A274" s="173"/>
      <c r="B274" s="175"/>
      <c r="C274" s="212" t="s">
        <v>137</v>
      </c>
      <c r="D274" s="490"/>
      <c r="E274" s="488">
        <v>20000</v>
      </c>
      <c r="F274" s="488">
        <f t="shared" si="45"/>
        <v>20000</v>
      </c>
      <c r="G274" s="484">
        <f t="shared" si="35"/>
        <v>20000</v>
      </c>
      <c r="H274" s="488">
        <v>20000</v>
      </c>
      <c r="I274" s="488"/>
      <c r="J274" s="488"/>
      <c r="K274" s="488"/>
      <c r="L274" s="490"/>
      <c r="M274" s="488">
        <v>20000</v>
      </c>
      <c r="N274" s="488">
        <v>20000</v>
      </c>
      <c r="O274" s="470">
        <f t="shared" si="39"/>
        <v>20000</v>
      </c>
      <c r="P274" s="488"/>
      <c r="Q274" s="622"/>
    </row>
    <row r="275" spans="1:17" ht="16.5">
      <c r="A275" s="173"/>
      <c r="B275" s="175"/>
      <c r="C275" s="211" t="s">
        <v>707</v>
      </c>
      <c r="D275" s="490"/>
      <c r="E275" s="488">
        <v>15000</v>
      </c>
      <c r="F275" s="488">
        <f t="shared" si="45"/>
        <v>15000</v>
      </c>
      <c r="G275" s="484">
        <f t="shared" si="35"/>
        <v>15000</v>
      </c>
      <c r="H275" s="488">
        <v>15000</v>
      </c>
      <c r="I275" s="488"/>
      <c r="J275" s="488"/>
      <c r="K275" s="488"/>
      <c r="L275" s="490"/>
      <c r="M275" s="488">
        <v>15000</v>
      </c>
      <c r="N275" s="488">
        <v>15000</v>
      </c>
      <c r="O275" s="470">
        <f t="shared" si="39"/>
        <v>15000</v>
      </c>
      <c r="P275" s="488"/>
      <c r="Q275" s="624"/>
    </row>
    <row r="276" spans="1:17" ht="16.5">
      <c r="A276" s="173"/>
      <c r="B276" s="175"/>
      <c r="C276" s="211" t="s">
        <v>270</v>
      </c>
      <c r="D276" s="490"/>
      <c r="E276" s="488">
        <v>10000</v>
      </c>
      <c r="F276" s="488">
        <f t="shared" si="45"/>
        <v>10000</v>
      </c>
      <c r="G276" s="484">
        <f t="shared" si="35"/>
        <v>10000</v>
      </c>
      <c r="H276" s="488">
        <f t="shared" si="48"/>
        <v>10000</v>
      </c>
      <c r="I276" s="488"/>
      <c r="J276" s="488"/>
      <c r="K276" s="488"/>
      <c r="L276" s="490"/>
      <c r="M276" s="488">
        <v>10000</v>
      </c>
      <c r="N276" s="488">
        <v>10000</v>
      </c>
      <c r="O276" s="470">
        <f t="shared" si="39"/>
        <v>10000</v>
      </c>
      <c r="P276" s="488"/>
      <c r="Q276" s="622"/>
    </row>
    <row r="277" spans="1:17" ht="45">
      <c r="A277" s="173"/>
      <c r="B277" s="175"/>
      <c r="C277" s="170" t="s">
        <v>924</v>
      </c>
      <c r="D277" s="490"/>
      <c r="E277" s="488"/>
      <c r="F277" s="488">
        <f t="shared" si="45"/>
        <v>0</v>
      </c>
      <c r="G277" s="484"/>
      <c r="H277" s="488"/>
      <c r="I277" s="488"/>
      <c r="J277" s="488"/>
      <c r="K277" s="488"/>
      <c r="L277" s="490"/>
      <c r="M277" s="488">
        <v>6000</v>
      </c>
      <c r="N277" s="488">
        <v>6000</v>
      </c>
      <c r="O277" s="470">
        <f t="shared" si="39"/>
        <v>6000</v>
      </c>
      <c r="P277" s="488"/>
      <c r="Q277" s="622"/>
    </row>
    <row r="278" spans="1:17" ht="54.75" customHeight="1">
      <c r="A278" s="173"/>
      <c r="B278" s="175"/>
      <c r="C278" s="170" t="s">
        <v>925</v>
      </c>
      <c r="D278" s="490"/>
      <c r="E278" s="488"/>
      <c r="F278" s="488">
        <f t="shared" si="45"/>
        <v>0</v>
      </c>
      <c r="G278" s="484"/>
      <c r="H278" s="488"/>
      <c r="I278" s="488"/>
      <c r="J278" s="488"/>
      <c r="K278" s="488"/>
      <c r="L278" s="490"/>
      <c r="M278" s="488">
        <v>15000</v>
      </c>
      <c r="N278" s="488">
        <v>15000</v>
      </c>
      <c r="O278" s="470">
        <f t="shared" si="39"/>
        <v>15000</v>
      </c>
      <c r="P278" s="488"/>
      <c r="Q278" s="357" t="s">
        <v>1187</v>
      </c>
    </row>
    <row r="279" spans="1:17" ht="16.5">
      <c r="A279" s="478">
        <v>12</v>
      </c>
      <c r="B279" s="495"/>
      <c r="C279" s="480" t="s">
        <v>308</v>
      </c>
      <c r="D279" s="492">
        <f t="shared" ref="D279:N279" si="49">D280</f>
        <v>0</v>
      </c>
      <c r="E279" s="464">
        <f t="shared" si="49"/>
        <v>261000</v>
      </c>
      <c r="F279" s="488">
        <f t="shared" si="45"/>
        <v>219000</v>
      </c>
      <c r="G279" s="472">
        <f t="shared" si="35"/>
        <v>219000</v>
      </c>
      <c r="H279" s="464">
        <f t="shared" si="49"/>
        <v>179000</v>
      </c>
      <c r="I279" s="464">
        <f t="shared" si="49"/>
        <v>40000</v>
      </c>
      <c r="J279" s="464">
        <f t="shared" si="49"/>
        <v>0</v>
      </c>
      <c r="K279" s="464">
        <f t="shared" si="49"/>
        <v>0</v>
      </c>
      <c r="L279" s="492">
        <f t="shared" si="49"/>
        <v>0</v>
      </c>
      <c r="M279" s="464">
        <f t="shared" si="49"/>
        <v>221500</v>
      </c>
      <c r="N279" s="464">
        <f t="shared" si="49"/>
        <v>192500</v>
      </c>
      <c r="O279" s="466">
        <f t="shared" si="39"/>
        <v>192500</v>
      </c>
      <c r="P279" s="464"/>
      <c r="Q279" s="622"/>
    </row>
    <row r="280" spans="1:17" ht="16.5">
      <c r="A280" s="171"/>
      <c r="B280" s="175"/>
      <c r="C280" s="510" t="s">
        <v>926</v>
      </c>
      <c r="D280" s="471">
        <f>SUM(D281:D288)</f>
        <v>0</v>
      </c>
      <c r="E280" s="472">
        <f>SUM(E281:E288)</f>
        <v>261000</v>
      </c>
      <c r="F280" s="488">
        <f t="shared" si="45"/>
        <v>219000</v>
      </c>
      <c r="G280" s="472">
        <f t="shared" si="35"/>
        <v>219000</v>
      </c>
      <c r="H280" s="472">
        <f>SUM(H281:H288)</f>
        <v>179000</v>
      </c>
      <c r="I280" s="472">
        <f>SUM(I281:I288)</f>
        <v>40000</v>
      </c>
      <c r="J280" s="472">
        <f t="shared" ref="J280:M280" si="50">SUM(J281:J288)</f>
        <v>0</v>
      </c>
      <c r="K280" s="472">
        <f t="shared" si="50"/>
        <v>0</v>
      </c>
      <c r="L280" s="471">
        <f t="shared" si="50"/>
        <v>0</v>
      </c>
      <c r="M280" s="472">
        <f t="shared" si="50"/>
        <v>221500</v>
      </c>
      <c r="N280" s="472">
        <f>SUM(N281:N288)</f>
        <v>192500</v>
      </c>
      <c r="O280" s="466">
        <f t="shared" si="39"/>
        <v>192500</v>
      </c>
      <c r="P280" s="472"/>
      <c r="Q280" s="622"/>
    </row>
    <row r="281" spans="1:17" ht="16.5">
      <c r="A281" s="173"/>
      <c r="B281" s="175"/>
      <c r="C281" s="170" t="s">
        <v>570</v>
      </c>
      <c r="D281" s="490"/>
      <c r="E281" s="488">
        <v>13500</v>
      </c>
      <c r="F281" s="488">
        <f t="shared" si="45"/>
        <v>13500</v>
      </c>
      <c r="G281" s="484">
        <f t="shared" si="35"/>
        <v>13500</v>
      </c>
      <c r="H281" s="488">
        <f>E281</f>
        <v>13500</v>
      </c>
      <c r="I281" s="488"/>
      <c r="J281" s="488"/>
      <c r="K281" s="488"/>
      <c r="L281" s="490"/>
      <c r="M281" s="488">
        <v>13500</v>
      </c>
      <c r="N281" s="488">
        <f>M281</f>
        <v>13500</v>
      </c>
      <c r="O281" s="470">
        <f t="shared" si="39"/>
        <v>13500</v>
      </c>
      <c r="P281" s="488"/>
      <c r="Q281" s="622"/>
    </row>
    <row r="282" spans="1:17" ht="16.5">
      <c r="A282" s="171"/>
      <c r="B282" s="175"/>
      <c r="C282" s="170" t="s">
        <v>797</v>
      </c>
      <c r="D282" s="490"/>
      <c r="E282" s="488">
        <v>2000</v>
      </c>
      <c r="F282" s="488">
        <f t="shared" si="45"/>
        <v>2000</v>
      </c>
      <c r="G282" s="484">
        <f t="shared" si="35"/>
        <v>2000</v>
      </c>
      <c r="H282" s="488">
        <f>E282</f>
        <v>2000</v>
      </c>
      <c r="I282" s="488"/>
      <c r="J282" s="488"/>
      <c r="K282" s="488"/>
      <c r="L282" s="490"/>
      <c r="M282" s="488">
        <v>2000</v>
      </c>
      <c r="N282" s="488">
        <f t="shared" ref="N282:N284" si="51">M282</f>
        <v>2000</v>
      </c>
      <c r="O282" s="470">
        <f t="shared" si="39"/>
        <v>2000</v>
      </c>
      <c r="P282" s="488"/>
      <c r="Q282" s="622"/>
    </row>
    <row r="283" spans="1:17" ht="30">
      <c r="A283" s="171"/>
      <c r="B283" s="174"/>
      <c r="C283" s="207" t="s">
        <v>927</v>
      </c>
      <c r="D283" s="490"/>
      <c r="E283" s="488">
        <v>4500</v>
      </c>
      <c r="F283" s="488">
        <f t="shared" si="45"/>
        <v>4500</v>
      </c>
      <c r="G283" s="484">
        <f t="shared" si="35"/>
        <v>4500</v>
      </c>
      <c r="H283" s="488">
        <f>E283</f>
        <v>4500</v>
      </c>
      <c r="I283" s="488"/>
      <c r="J283" s="488"/>
      <c r="K283" s="488"/>
      <c r="L283" s="490"/>
      <c r="M283" s="488">
        <f>2*300*5</f>
        <v>3000</v>
      </c>
      <c r="N283" s="488">
        <f t="shared" si="51"/>
        <v>3000</v>
      </c>
      <c r="O283" s="470">
        <f t="shared" si="39"/>
        <v>3000</v>
      </c>
      <c r="P283" s="488"/>
      <c r="Q283" s="622"/>
    </row>
    <row r="284" spans="1:17" ht="16.5">
      <c r="A284" s="173"/>
      <c r="B284" s="174"/>
      <c r="C284" s="170" t="s">
        <v>928</v>
      </c>
      <c r="D284" s="490"/>
      <c r="E284" s="488">
        <v>6000</v>
      </c>
      <c r="F284" s="488">
        <f t="shared" si="45"/>
        <v>6000</v>
      </c>
      <c r="G284" s="484">
        <f t="shared" ref="G284:G336" si="52">H284+I284</f>
        <v>6000</v>
      </c>
      <c r="H284" s="488">
        <v>6000</v>
      </c>
      <c r="I284" s="488"/>
      <c r="J284" s="488"/>
      <c r="K284" s="488"/>
      <c r="L284" s="490"/>
      <c r="M284" s="488">
        <v>4000</v>
      </c>
      <c r="N284" s="488">
        <f t="shared" si="51"/>
        <v>4000</v>
      </c>
      <c r="O284" s="470">
        <f t="shared" si="39"/>
        <v>4000</v>
      </c>
      <c r="P284" s="488"/>
      <c r="Q284" s="622"/>
    </row>
    <row r="285" spans="1:17" ht="308.25" customHeight="1">
      <c r="A285" s="171"/>
      <c r="B285" s="174"/>
      <c r="C285" s="170" t="s">
        <v>929</v>
      </c>
      <c r="D285" s="490"/>
      <c r="E285" s="488">
        <v>170000</v>
      </c>
      <c r="F285" s="488">
        <f t="shared" si="45"/>
        <v>128000</v>
      </c>
      <c r="G285" s="484">
        <f t="shared" si="52"/>
        <v>128000</v>
      </c>
      <c r="H285" s="488">
        <v>88000</v>
      </c>
      <c r="I285" s="488">
        <v>40000</v>
      </c>
      <c r="J285" s="488"/>
      <c r="K285" s="488"/>
      <c r="L285" s="490"/>
      <c r="M285" s="488">
        <f>143000+6000</f>
        <v>149000</v>
      </c>
      <c r="N285" s="488">
        <v>120000</v>
      </c>
      <c r="O285" s="470">
        <f t="shared" si="39"/>
        <v>120000</v>
      </c>
      <c r="P285" s="488"/>
      <c r="Q285" s="623" t="s">
        <v>930</v>
      </c>
    </row>
    <row r="286" spans="1:17" ht="30.75" customHeight="1">
      <c r="A286" s="171"/>
      <c r="B286" s="174"/>
      <c r="C286" s="170" t="s">
        <v>776</v>
      </c>
      <c r="D286" s="492"/>
      <c r="E286" s="488">
        <v>25000</v>
      </c>
      <c r="F286" s="488">
        <f t="shared" si="45"/>
        <v>25000</v>
      </c>
      <c r="G286" s="484">
        <f t="shared" si="52"/>
        <v>25000</v>
      </c>
      <c r="H286" s="488">
        <v>25000</v>
      </c>
      <c r="I286" s="488"/>
      <c r="J286" s="488"/>
      <c r="K286" s="488"/>
      <c r="L286" s="490"/>
      <c r="M286" s="1153">
        <v>30000</v>
      </c>
      <c r="N286" s="1199">
        <v>30000</v>
      </c>
      <c r="O286" s="1207">
        <f t="shared" si="39"/>
        <v>30000</v>
      </c>
      <c r="P286" s="488"/>
      <c r="Q286" s="634" t="s">
        <v>931</v>
      </c>
    </row>
    <row r="287" spans="1:17" ht="16.5">
      <c r="A287" s="171"/>
      <c r="B287" s="174"/>
      <c r="C287" s="170" t="s">
        <v>39</v>
      </c>
      <c r="D287" s="492"/>
      <c r="E287" s="488">
        <v>10000</v>
      </c>
      <c r="F287" s="488">
        <f t="shared" si="45"/>
        <v>10000</v>
      </c>
      <c r="G287" s="484">
        <f t="shared" si="52"/>
        <v>10000</v>
      </c>
      <c r="H287" s="488">
        <v>10000</v>
      </c>
      <c r="I287" s="488"/>
      <c r="J287" s="488"/>
      <c r="K287" s="488"/>
      <c r="L287" s="490"/>
      <c r="M287" s="1154"/>
      <c r="N287" s="1200"/>
      <c r="O287" s="1208"/>
      <c r="P287" s="488"/>
      <c r="Q287" s="622"/>
    </row>
    <row r="288" spans="1:17" ht="16.5">
      <c r="A288" s="171"/>
      <c r="B288" s="172"/>
      <c r="C288" s="170" t="s">
        <v>712</v>
      </c>
      <c r="D288" s="490"/>
      <c r="E288" s="488">
        <v>30000</v>
      </c>
      <c r="F288" s="488">
        <f t="shared" si="45"/>
        <v>30000</v>
      </c>
      <c r="G288" s="484">
        <f t="shared" si="52"/>
        <v>30000</v>
      </c>
      <c r="H288" s="488">
        <v>30000</v>
      </c>
      <c r="I288" s="488"/>
      <c r="J288" s="488"/>
      <c r="K288" s="488"/>
      <c r="L288" s="490"/>
      <c r="M288" s="488">
        <v>20000</v>
      </c>
      <c r="N288" s="488">
        <v>20000</v>
      </c>
      <c r="O288" s="470">
        <f t="shared" si="39"/>
        <v>20000</v>
      </c>
      <c r="P288" s="488"/>
      <c r="Q288" s="622"/>
    </row>
    <row r="289" spans="1:17" ht="16.5">
      <c r="A289" s="478">
        <v>13</v>
      </c>
      <c r="B289" s="498"/>
      <c r="C289" s="480" t="s">
        <v>798</v>
      </c>
      <c r="D289" s="490"/>
      <c r="E289" s="472">
        <f>(E290)</f>
        <v>834000</v>
      </c>
      <c r="F289" s="491">
        <f t="shared" si="45"/>
        <v>219000</v>
      </c>
      <c r="G289" s="472">
        <f t="shared" si="52"/>
        <v>219000</v>
      </c>
      <c r="H289" s="472">
        <f>(H290)</f>
        <v>99000</v>
      </c>
      <c r="I289" s="472">
        <f>(I290)</f>
        <v>120000</v>
      </c>
      <c r="J289" s="472">
        <f t="shared" ref="J289:N289" si="53">(J290)</f>
        <v>0</v>
      </c>
      <c r="K289" s="472">
        <f t="shared" si="53"/>
        <v>0</v>
      </c>
      <c r="L289" s="471">
        <f t="shared" si="53"/>
        <v>0</v>
      </c>
      <c r="M289" s="472">
        <f t="shared" si="53"/>
        <v>239500</v>
      </c>
      <c r="N289" s="472">
        <f t="shared" si="53"/>
        <v>239500</v>
      </c>
      <c r="O289" s="466">
        <f t="shared" si="39"/>
        <v>239500</v>
      </c>
      <c r="P289" s="472"/>
      <c r="Q289" s="622"/>
    </row>
    <row r="290" spans="1:17" s="118" customFormat="1" ht="16.5">
      <c r="A290" s="171" t="s">
        <v>551</v>
      </c>
      <c r="B290" s="172"/>
      <c r="C290" s="169" t="s">
        <v>380</v>
      </c>
      <c r="D290" s="490"/>
      <c r="E290" s="472">
        <f>SUM(E291:E299)</f>
        <v>834000</v>
      </c>
      <c r="F290" s="491">
        <f t="shared" si="45"/>
        <v>219000</v>
      </c>
      <c r="G290" s="472">
        <f t="shared" si="52"/>
        <v>219000</v>
      </c>
      <c r="H290" s="472">
        <f>SUM(H291:H299)</f>
        <v>99000</v>
      </c>
      <c r="I290" s="472">
        <f>SUM(I291:I299)</f>
        <v>120000</v>
      </c>
      <c r="J290" s="472">
        <f>SUM(J291:J300)</f>
        <v>0</v>
      </c>
      <c r="K290" s="472">
        <f t="shared" ref="K290:L290" si="54">SUM(K291:K299)</f>
        <v>0</v>
      </c>
      <c r="L290" s="471">
        <f t="shared" si="54"/>
        <v>0</v>
      </c>
      <c r="M290" s="472">
        <f>SUM(M291:M300)</f>
        <v>239500</v>
      </c>
      <c r="N290" s="472">
        <f>SUM(N291:N300)</f>
        <v>239500</v>
      </c>
      <c r="O290" s="466">
        <f t="shared" si="39"/>
        <v>239500</v>
      </c>
      <c r="P290" s="472"/>
      <c r="Q290" s="636"/>
    </row>
    <row r="291" spans="1:17" s="118" customFormat="1" ht="16.5">
      <c r="A291" s="171"/>
      <c r="B291" s="174"/>
      <c r="C291" s="170" t="s">
        <v>932</v>
      </c>
      <c r="D291" s="490"/>
      <c r="E291" s="488">
        <v>21500</v>
      </c>
      <c r="F291" s="488">
        <f t="shared" si="45"/>
        <v>21500</v>
      </c>
      <c r="G291" s="484">
        <f t="shared" si="52"/>
        <v>21500</v>
      </c>
      <c r="H291" s="488">
        <v>21500</v>
      </c>
      <c r="I291" s="488"/>
      <c r="J291" s="488"/>
      <c r="K291" s="488"/>
      <c r="L291" s="490"/>
      <c r="M291" s="488">
        <f>5000+9000+4000*2</f>
        <v>22000</v>
      </c>
      <c r="N291" s="488">
        <v>22000</v>
      </c>
      <c r="O291" s="470">
        <f t="shared" si="39"/>
        <v>22000</v>
      </c>
      <c r="P291" s="488"/>
      <c r="Q291" s="636"/>
    </row>
    <row r="292" spans="1:17" ht="16.5">
      <c r="A292" s="171"/>
      <c r="B292" s="174"/>
      <c r="C292" s="170" t="s">
        <v>40</v>
      </c>
      <c r="D292" s="490"/>
      <c r="E292" s="488">
        <v>3000</v>
      </c>
      <c r="F292" s="488">
        <f t="shared" si="45"/>
        <v>3000</v>
      </c>
      <c r="G292" s="484">
        <f t="shared" si="52"/>
        <v>3000</v>
      </c>
      <c r="H292" s="488">
        <v>3000</v>
      </c>
      <c r="I292" s="488"/>
      <c r="J292" s="488"/>
      <c r="K292" s="488"/>
      <c r="L292" s="490"/>
      <c r="M292" s="488">
        <v>3000</v>
      </c>
      <c r="N292" s="488">
        <v>3000</v>
      </c>
      <c r="O292" s="470">
        <f t="shared" ref="O292:O345" si="55">N292</f>
        <v>3000</v>
      </c>
      <c r="P292" s="488"/>
      <c r="Q292" s="622"/>
    </row>
    <row r="293" spans="1:17" ht="30">
      <c r="A293" s="171"/>
      <c r="B293" s="174"/>
      <c r="C293" s="170" t="s">
        <v>805</v>
      </c>
      <c r="D293" s="490"/>
      <c r="E293" s="488">
        <v>7500</v>
      </c>
      <c r="F293" s="488">
        <f t="shared" si="45"/>
        <v>7500</v>
      </c>
      <c r="G293" s="484">
        <f t="shared" si="52"/>
        <v>7500</v>
      </c>
      <c r="H293" s="488">
        <v>7500</v>
      </c>
      <c r="I293" s="488"/>
      <c r="J293" s="488"/>
      <c r="K293" s="488"/>
      <c r="L293" s="490"/>
      <c r="M293" s="488">
        <f>5*300*5</f>
        <v>7500</v>
      </c>
      <c r="N293" s="488">
        <f>M293</f>
        <v>7500</v>
      </c>
      <c r="O293" s="470">
        <f t="shared" si="55"/>
        <v>7500</v>
      </c>
      <c r="P293" s="488"/>
      <c r="Q293" s="622"/>
    </row>
    <row r="294" spans="1:17" ht="16.5">
      <c r="A294" s="171"/>
      <c r="B294" s="174"/>
      <c r="C294" s="170" t="s">
        <v>186</v>
      </c>
      <c r="D294" s="490"/>
      <c r="E294" s="488">
        <v>12000</v>
      </c>
      <c r="F294" s="488">
        <f t="shared" si="45"/>
        <v>12000</v>
      </c>
      <c r="G294" s="484">
        <f t="shared" si="52"/>
        <v>12000</v>
      </c>
      <c r="H294" s="488">
        <v>12000</v>
      </c>
      <c r="I294" s="488"/>
      <c r="J294" s="488"/>
      <c r="K294" s="488"/>
      <c r="L294" s="490"/>
      <c r="M294" s="488">
        <v>12000</v>
      </c>
      <c r="N294" s="488">
        <v>12000</v>
      </c>
      <c r="O294" s="470">
        <f t="shared" si="55"/>
        <v>12000</v>
      </c>
      <c r="P294" s="488"/>
      <c r="Q294" s="622"/>
    </row>
    <row r="295" spans="1:17" ht="16.5">
      <c r="A295" s="171"/>
      <c r="B295" s="174"/>
      <c r="C295" s="170" t="s">
        <v>604</v>
      </c>
      <c r="D295" s="490"/>
      <c r="E295" s="488">
        <v>10000</v>
      </c>
      <c r="F295" s="488">
        <f t="shared" si="45"/>
        <v>10000</v>
      </c>
      <c r="G295" s="484">
        <f t="shared" si="52"/>
        <v>10000</v>
      </c>
      <c r="H295" s="488">
        <v>10000</v>
      </c>
      <c r="I295" s="488"/>
      <c r="J295" s="488"/>
      <c r="K295" s="488"/>
      <c r="L295" s="490"/>
      <c r="M295" s="488">
        <v>10000</v>
      </c>
      <c r="N295" s="488">
        <v>10000</v>
      </c>
      <c r="O295" s="470">
        <f t="shared" si="55"/>
        <v>10000</v>
      </c>
      <c r="P295" s="488"/>
      <c r="Q295" s="622"/>
    </row>
    <row r="296" spans="1:17" ht="16.5">
      <c r="A296" s="173"/>
      <c r="B296" s="174"/>
      <c r="C296" s="170" t="s">
        <v>440</v>
      </c>
      <c r="D296" s="490"/>
      <c r="E296" s="488">
        <v>70000</v>
      </c>
      <c r="F296" s="488">
        <f t="shared" si="45"/>
        <v>25000</v>
      </c>
      <c r="G296" s="484">
        <f t="shared" si="52"/>
        <v>25000</v>
      </c>
      <c r="H296" s="488">
        <v>15000</v>
      </c>
      <c r="I296" s="488">
        <v>10000</v>
      </c>
      <c r="J296" s="488"/>
      <c r="K296" s="488"/>
      <c r="L296" s="490"/>
      <c r="M296" s="488">
        <v>25000</v>
      </c>
      <c r="N296" s="488">
        <v>25000</v>
      </c>
      <c r="O296" s="470">
        <f t="shared" si="55"/>
        <v>25000</v>
      </c>
      <c r="P296" s="488"/>
      <c r="Q296" s="622"/>
    </row>
    <row r="297" spans="1:17" ht="45">
      <c r="A297" s="173"/>
      <c r="B297" s="174"/>
      <c r="C297" s="170" t="s">
        <v>753</v>
      </c>
      <c r="D297" s="490"/>
      <c r="E297" s="488">
        <v>150000</v>
      </c>
      <c r="F297" s="488">
        <f t="shared" si="45"/>
        <v>30000</v>
      </c>
      <c r="G297" s="484">
        <f t="shared" si="52"/>
        <v>30000</v>
      </c>
      <c r="H297" s="488">
        <v>20000</v>
      </c>
      <c r="I297" s="488">
        <v>10000</v>
      </c>
      <c r="J297" s="488"/>
      <c r="K297" s="488"/>
      <c r="L297" s="490"/>
      <c r="M297" s="488">
        <v>30000</v>
      </c>
      <c r="N297" s="488">
        <v>30000</v>
      </c>
      <c r="O297" s="470">
        <f t="shared" si="55"/>
        <v>30000</v>
      </c>
      <c r="P297" s="488"/>
      <c r="Q297" s="622"/>
    </row>
    <row r="298" spans="1:17" ht="16.5">
      <c r="A298" s="173"/>
      <c r="B298" s="174"/>
      <c r="C298" s="170" t="s">
        <v>180</v>
      </c>
      <c r="D298" s="490"/>
      <c r="E298" s="488">
        <v>60000</v>
      </c>
      <c r="F298" s="488">
        <f t="shared" si="45"/>
        <v>10000</v>
      </c>
      <c r="G298" s="484">
        <f t="shared" si="52"/>
        <v>10000</v>
      </c>
      <c r="H298" s="488">
        <v>10000</v>
      </c>
      <c r="I298" s="488"/>
      <c r="J298" s="488"/>
      <c r="K298" s="488"/>
      <c r="L298" s="490"/>
      <c r="M298" s="488">
        <v>10000</v>
      </c>
      <c r="N298" s="488">
        <v>10000</v>
      </c>
      <c r="O298" s="470">
        <f t="shared" si="55"/>
        <v>10000</v>
      </c>
      <c r="P298" s="488"/>
      <c r="Q298" s="622"/>
    </row>
    <row r="299" spans="1:17" ht="30">
      <c r="A299" s="511"/>
      <c r="B299" s="512"/>
      <c r="C299" s="476" t="s">
        <v>633</v>
      </c>
      <c r="D299" s="513"/>
      <c r="E299" s="514">
        <v>500000</v>
      </c>
      <c r="F299" s="514">
        <f t="shared" si="45"/>
        <v>100000</v>
      </c>
      <c r="G299" s="515">
        <f t="shared" si="52"/>
        <v>100000</v>
      </c>
      <c r="H299" s="514"/>
      <c r="I299" s="514">
        <v>100000</v>
      </c>
      <c r="J299" s="514"/>
      <c r="K299" s="488"/>
      <c r="L299" s="490"/>
      <c r="M299" s="488">
        <v>100000</v>
      </c>
      <c r="N299" s="488">
        <v>100000</v>
      </c>
      <c r="O299" s="470">
        <f t="shared" si="55"/>
        <v>100000</v>
      </c>
      <c r="P299" s="488"/>
      <c r="Q299" s="357"/>
    </row>
    <row r="300" spans="1:17" ht="16.5">
      <c r="A300" s="511"/>
      <c r="B300" s="512"/>
      <c r="C300" s="476" t="s">
        <v>933</v>
      </c>
      <c r="D300" s="513"/>
      <c r="E300" s="514"/>
      <c r="F300" s="514"/>
      <c r="G300" s="515"/>
      <c r="H300" s="514"/>
      <c r="I300" s="514"/>
      <c r="J300" s="514"/>
      <c r="K300" s="488"/>
      <c r="L300" s="490"/>
      <c r="M300" s="488">
        <v>20000</v>
      </c>
      <c r="N300" s="488">
        <v>20000</v>
      </c>
      <c r="O300" s="470">
        <f t="shared" si="55"/>
        <v>20000</v>
      </c>
      <c r="P300" s="488"/>
      <c r="Q300" s="357"/>
    </row>
    <row r="301" spans="1:17" ht="16.5">
      <c r="A301" s="516">
        <v>14</v>
      </c>
      <c r="B301" s="517"/>
      <c r="C301" s="518" t="s">
        <v>441</v>
      </c>
      <c r="D301" s="519"/>
      <c r="E301" s="520">
        <f>SUM(E302:E313)</f>
        <v>142500</v>
      </c>
      <c r="F301" s="521">
        <f t="shared" si="45"/>
        <v>118000</v>
      </c>
      <c r="G301" s="520">
        <f t="shared" si="52"/>
        <v>118000</v>
      </c>
      <c r="H301" s="520">
        <f>SUM(H302:H313)</f>
        <v>108000</v>
      </c>
      <c r="I301" s="520">
        <f>SUM(I302:I313)</f>
        <v>10000</v>
      </c>
      <c r="J301" s="520">
        <f t="shared" ref="J301:L301" si="56">SUM(J302:J313)</f>
        <v>0</v>
      </c>
      <c r="K301" s="482">
        <f t="shared" si="56"/>
        <v>0</v>
      </c>
      <c r="L301" s="481">
        <f t="shared" si="56"/>
        <v>0</v>
      </c>
      <c r="M301" s="482">
        <f>SUM(M302:M313)</f>
        <v>121000</v>
      </c>
      <c r="N301" s="482">
        <f>SUM(N302:N313)</f>
        <v>113000</v>
      </c>
      <c r="O301" s="466">
        <f t="shared" si="55"/>
        <v>113000</v>
      </c>
      <c r="P301" s="482"/>
      <c r="Q301" s="631"/>
    </row>
    <row r="302" spans="1:17" ht="16.5">
      <c r="A302" s="171"/>
      <c r="B302" s="174"/>
      <c r="C302" s="170" t="s">
        <v>391</v>
      </c>
      <c r="D302" s="490"/>
      <c r="E302" s="488">
        <v>9000</v>
      </c>
      <c r="F302" s="488">
        <f t="shared" si="45"/>
        <v>9000</v>
      </c>
      <c r="G302" s="484">
        <f t="shared" si="52"/>
        <v>9000</v>
      </c>
      <c r="H302" s="488">
        <f>E302</f>
        <v>9000</v>
      </c>
      <c r="I302" s="488"/>
      <c r="J302" s="488"/>
      <c r="K302" s="488"/>
      <c r="L302" s="490"/>
      <c r="M302" s="488">
        <v>9000</v>
      </c>
      <c r="N302" s="488">
        <v>9000</v>
      </c>
      <c r="O302" s="470">
        <f t="shared" si="55"/>
        <v>9000</v>
      </c>
      <c r="P302" s="488"/>
      <c r="Q302" s="622"/>
    </row>
    <row r="303" spans="1:17" ht="16.5">
      <c r="A303" s="171"/>
      <c r="B303" s="174"/>
      <c r="C303" s="170" t="s">
        <v>769</v>
      </c>
      <c r="D303" s="490"/>
      <c r="E303" s="488">
        <v>3500</v>
      </c>
      <c r="F303" s="488">
        <f t="shared" si="45"/>
        <v>3500</v>
      </c>
      <c r="G303" s="484">
        <f t="shared" si="52"/>
        <v>3500</v>
      </c>
      <c r="H303" s="488">
        <f>E303</f>
        <v>3500</v>
      </c>
      <c r="I303" s="488"/>
      <c r="J303" s="488"/>
      <c r="K303" s="488"/>
      <c r="L303" s="490"/>
      <c r="M303" s="488">
        <v>3500</v>
      </c>
      <c r="N303" s="488">
        <v>3500</v>
      </c>
      <c r="O303" s="470">
        <f t="shared" si="55"/>
        <v>3500</v>
      </c>
      <c r="P303" s="488"/>
      <c r="Q303" s="622"/>
    </row>
    <row r="304" spans="1:17" ht="16.5">
      <c r="A304" s="171"/>
      <c r="B304" s="174"/>
      <c r="C304" s="170" t="s">
        <v>187</v>
      </c>
      <c r="D304" s="490"/>
      <c r="E304" s="488">
        <v>12000</v>
      </c>
      <c r="F304" s="488">
        <f t="shared" si="45"/>
        <v>12000</v>
      </c>
      <c r="G304" s="484">
        <f t="shared" si="52"/>
        <v>12000</v>
      </c>
      <c r="H304" s="488">
        <v>12000</v>
      </c>
      <c r="I304" s="488"/>
      <c r="J304" s="488"/>
      <c r="K304" s="488"/>
      <c r="L304" s="490"/>
      <c r="M304" s="488">
        <v>12000</v>
      </c>
      <c r="N304" s="488">
        <v>12000</v>
      </c>
      <c r="O304" s="470">
        <f t="shared" si="55"/>
        <v>12000</v>
      </c>
      <c r="P304" s="488"/>
      <c r="Q304" s="622"/>
    </row>
    <row r="305" spans="1:17" ht="30">
      <c r="A305" s="171"/>
      <c r="B305" s="174"/>
      <c r="C305" s="170" t="s">
        <v>661</v>
      </c>
      <c r="D305" s="490"/>
      <c r="E305" s="488">
        <v>3000</v>
      </c>
      <c r="F305" s="488">
        <f t="shared" si="45"/>
        <v>3000</v>
      </c>
      <c r="G305" s="484">
        <f t="shared" si="52"/>
        <v>3000</v>
      </c>
      <c r="H305" s="488">
        <f>E305</f>
        <v>3000</v>
      </c>
      <c r="I305" s="488"/>
      <c r="J305" s="488"/>
      <c r="K305" s="488"/>
      <c r="L305" s="490"/>
      <c r="M305" s="488">
        <v>3000</v>
      </c>
      <c r="N305" s="488">
        <v>3000</v>
      </c>
      <c r="O305" s="470">
        <f t="shared" si="55"/>
        <v>3000</v>
      </c>
      <c r="P305" s="488"/>
      <c r="Q305" s="622"/>
    </row>
    <row r="306" spans="1:17" ht="16.5">
      <c r="A306" s="171"/>
      <c r="B306" s="174"/>
      <c r="C306" s="170" t="s">
        <v>662</v>
      </c>
      <c r="D306" s="490"/>
      <c r="E306" s="488">
        <v>4000</v>
      </c>
      <c r="F306" s="488">
        <f t="shared" si="45"/>
        <v>4000</v>
      </c>
      <c r="G306" s="484">
        <f t="shared" si="52"/>
        <v>4000</v>
      </c>
      <c r="H306" s="488">
        <v>4000</v>
      </c>
      <c r="I306" s="488"/>
      <c r="J306" s="488"/>
      <c r="K306" s="488"/>
      <c r="L306" s="490"/>
      <c r="M306" s="488">
        <v>4000</v>
      </c>
      <c r="N306" s="488">
        <v>4000</v>
      </c>
      <c r="O306" s="470">
        <f t="shared" si="55"/>
        <v>4000</v>
      </c>
      <c r="P306" s="488"/>
      <c r="Q306" s="622"/>
    </row>
    <row r="307" spans="1:17" ht="16.5">
      <c r="A307" s="171"/>
      <c r="B307" s="174"/>
      <c r="C307" s="170" t="s">
        <v>41</v>
      </c>
      <c r="D307" s="490"/>
      <c r="E307" s="488">
        <v>20000</v>
      </c>
      <c r="F307" s="488">
        <f t="shared" si="45"/>
        <v>20000</v>
      </c>
      <c r="G307" s="484">
        <f t="shared" si="52"/>
        <v>20000</v>
      </c>
      <c r="H307" s="488">
        <v>10000</v>
      </c>
      <c r="I307" s="488">
        <v>10000</v>
      </c>
      <c r="J307" s="488"/>
      <c r="K307" s="488"/>
      <c r="L307" s="490"/>
      <c r="M307" s="488">
        <v>15000</v>
      </c>
      <c r="N307" s="488">
        <v>15000</v>
      </c>
      <c r="O307" s="470">
        <f t="shared" si="55"/>
        <v>15000</v>
      </c>
      <c r="P307" s="488"/>
      <c r="Q307" s="622"/>
    </row>
    <row r="308" spans="1:17" ht="16.5">
      <c r="A308" s="171"/>
      <c r="B308" s="174"/>
      <c r="C308" s="170" t="s">
        <v>274</v>
      </c>
      <c r="D308" s="490"/>
      <c r="E308" s="488">
        <v>30000</v>
      </c>
      <c r="F308" s="488">
        <f t="shared" si="45"/>
        <v>20000</v>
      </c>
      <c r="G308" s="484">
        <f t="shared" si="52"/>
        <v>20000</v>
      </c>
      <c r="H308" s="488">
        <v>20000</v>
      </c>
      <c r="I308" s="488"/>
      <c r="J308" s="488"/>
      <c r="K308" s="488"/>
      <c r="L308" s="490"/>
      <c r="M308" s="488">
        <v>22000</v>
      </c>
      <c r="N308" s="488">
        <v>20000</v>
      </c>
      <c r="O308" s="470">
        <f t="shared" si="55"/>
        <v>20000</v>
      </c>
      <c r="P308" s="488"/>
      <c r="Q308" s="622"/>
    </row>
    <row r="309" spans="1:17" ht="16.5">
      <c r="A309" s="173"/>
      <c r="B309" s="174"/>
      <c r="C309" s="170" t="s">
        <v>614</v>
      </c>
      <c r="D309" s="490"/>
      <c r="E309" s="488">
        <v>6500</v>
      </c>
      <c r="F309" s="488">
        <f t="shared" si="45"/>
        <v>6500</v>
      </c>
      <c r="G309" s="484">
        <f t="shared" si="52"/>
        <v>6500</v>
      </c>
      <c r="H309" s="488">
        <v>6500</v>
      </c>
      <c r="I309" s="488"/>
      <c r="J309" s="488"/>
      <c r="K309" s="488"/>
      <c r="L309" s="490"/>
      <c r="M309" s="488">
        <v>6500</v>
      </c>
      <c r="N309" s="488">
        <v>6500</v>
      </c>
      <c r="O309" s="470">
        <f t="shared" si="55"/>
        <v>6500</v>
      </c>
      <c r="P309" s="488"/>
      <c r="Q309" s="622"/>
    </row>
    <row r="310" spans="1:17" ht="16.5">
      <c r="A310" s="173"/>
      <c r="B310" s="213"/>
      <c r="C310" s="170" t="s">
        <v>934</v>
      </c>
      <c r="D310" s="490"/>
      <c r="E310" s="488">
        <v>10000</v>
      </c>
      <c r="F310" s="488">
        <f t="shared" si="45"/>
        <v>10000</v>
      </c>
      <c r="G310" s="484">
        <f t="shared" si="52"/>
        <v>10000</v>
      </c>
      <c r="H310" s="488">
        <v>10000</v>
      </c>
      <c r="I310" s="488"/>
      <c r="J310" s="488"/>
      <c r="K310" s="488"/>
      <c r="L310" s="490"/>
      <c r="M310" s="488">
        <v>12000</v>
      </c>
      <c r="N310" s="488">
        <v>10000</v>
      </c>
      <c r="O310" s="470">
        <f t="shared" si="55"/>
        <v>10000</v>
      </c>
      <c r="P310" s="488"/>
      <c r="Q310" s="622"/>
    </row>
    <row r="311" spans="1:17" ht="16.5">
      <c r="A311" s="173"/>
      <c r="B311" s="174"/>
      <c r="C311" s="170" t="s">
        <v>935</v>
      </c>
      <c r="D311" s="490"/>
      <c r="E311" s="488">
        <v>22000</v>
      </c>
      <c r="F311" s="488">
        <f t="shared" si="45"/>
        <v>10000</v>
      </c>
      <c r="G311" s="484">
        <f t="shared" si="52"/>
        <v>10000</v>
      </c>
      <c r="H311" s="488">
        <v>10000</v>
      </c>
      <c r="I311" s="488"/>
      <c r="J311" s="488"/>
      <c r="K311" s="488"/>
      <c r="L311" s="490"/>
      <c r="M311" s="488">
        <v>12000</v>
      </c>
      <c r="N311" s="488">
        <v>10000</v>
      </c>
      <c r="O311" s="470">
        <f t="shared" si="55"/>
        <v>10000</v>
      </c>
      <c r="P311" s="488"/>
      <c r="Q311" s="622"/>
    </row>
    <row r="312" spans="1:17" ht="16.5">
      <c r="A312" s="173"/>
      <c r="B312" s="174"/>
      <c r="C312" s="170" t="s">
        <v>710</v>
      </c>
      <c r="D312" s="490"/>
      <c r="E312" s="488">
        <v>12500</v>
      </c>
      <c r="F312" s="488">
        <f t="shared" si="45"/>
        <v>10000</v>
      </c>
      <c r="G312" s="484">
        <f t="shared" si="52"/>
        <v>10000</v>
      </c>
      <c r="H312" s="488">
        <v>10000</v>
      </c>
      <c r="I312" s="488"/>
      <c r="J312" s="488"/>
      <c r="K312" s="488"/>
      <c r="L312" s="490"/>
      <c r="M312" s="488">
        <v>10000</v>
      </c>
      <c r="N312" s="488">
        <v>10000</v>
      </c>
      <c r="O312" s="470">
        <f t="shared" si="55"/>
        <v>10000</v>
      </c>
      <c r="P312" s="488"/>
      <c r="Q312" s="622"/>
    </row>
    <row r="313" spans="1:17" ht="16.5">
      <c r="A313" s="173"/>
      <c r="B313" s="174"/>
      <c r="C313" s="170" t="s">
        <v>275</v>
      </c>
      <c r="D313" s="490"/>
      <c r="E313" s="488">
        <v>10000</v>
      </c>
      <c r="F313" s="488">
        <f t="shared" ref="F313:F374" si="57">G313+J313</f>
        <v>10000</v>
      </c>
      <c r="G313" s="484">
        <f t="shared" si="52"/>
        <v>10000</v>
      </c>
      <c r="H313" s="488">
        <v>10000</v>
      </c>
      <c r="I313" s="488"/>
      <c r="J313" s="488"/>
      <c r="K313" s="488"/>
      <c r="L313" s="490"/>
      <c r="M313" s="488">
        <v>12000</v>
      </c>
      <c r="N313" s="488">
        <v>10000</v>
      </c>
      <c r="O313" s="470">
        <f t="shared" si="55"/>
        <v>10000</v>
      </c>
      <c r="P313" s="488"/>
      <c r="Q313" s="622"/>
    </row>
    <row r="314" spans="1:17" ht="16.5">
      <c r="A314" s="478">
        <v>15</v>
      </c>
      <c r="B314" s="479"/>
      <c r="C314" s="480" t="s">
        <v>318</v>
      </c>
      <c r="D314" s="490"/>
      <c r="E314" s="472">
        <f>E315+E323</f>
        <v>165430</v>
      </c>
      <c r="F314" s="491">
        <f t="shared" si="57"/>
        <v>125430</v>
      </c>
      <c r="G314" s="472">
        <f t="shared" si="52"/>
        <v>125430</v>
      </c>
      <c r="H314" s="472">
        <f t="shared" ref="H314:N314" si="58">H315+H323</f>
        <v>110430</v>
      </c>
      <c r="I314" s="472">
        <f t="shared" si="58"/>
        <v>15000</v>
      </c>
      <c r="J314" s="472">
        <f t="shared" si="58"/>
        <v>0</v>
      </c>
      <c r="K314" s="472">
        <f t="shared" si="58"/>
        <v>0</v>
      </c>
      <c r="L314" s="471">
        <f t="shared" si="58"/>
        <v>0</v>
      </c>
      <c r="M314" s="472">
        <f t="shared" si="58"/>
        <v>161430</v>
      </c>
      <c r="N314" s="472">
        <f t="shared" si="58"/>
        <v>136430</v>
      </c>
      <c r="O314" s="466">
        <f t="shared" si="55"/>
        <v>136430</v>
      </c>
      <c r="P314" s="472"/>
      <c r="Q314" s="622"/>
    </row>
    <row r="315" spans="1:17" ht="16.5">
      <c r="A315" s="171" t="s">
        <v>28</v>
      </c>
      <c r="B315" s="174"/>
      <c r="C315" s="169" t="s">
        <v>319</v>
      </c>
      <c r="D315" s="490"/>
      <c r="E315" s="472">
        <f>SUM(E316:E321)</f>
        <v>55430</v>
      </c>
      <c r="F315" s="491">
        <f t="shared" si="57"/>
        <v>55430</v>
      </c>
      <c r="G315" s="472">
        <f t="shared" si="52"/>
        <v>55430</v>
      </c>
      <c r="H315" s="472">
        <f>SUM(H316:H321)</f>
        <v>55430</v>
      </c>
      <c r="I315" s="472">
        <f>SUM(I316:I321)</f>
        <v>0</v>
      </c>
      <c r="J315" s="472">
        <f>SUM(J316:J321)</f>
        <v>0</v>
      </c>
      <c r="K315" s="472">
        <f>SUM(K316:K321)</f>
        <v>0</v>
      </c>
      <c r="L315" s="471">
        <f>SUM(L316:L321)</f>
        <v>0</v>
      </c>
      <c r="M315" s="472">
        <f>SUM(M316:M322)</f>
        <v>71430</v>
      </c>
      <c r="N315" s="472">
        <f>SUM(N316:N322)</f>
        <v>71430</v>
      </c>
      <c r="O315" s="466">
        <f t="shared" si="55"/>
        <v>71430</v>
      </c>
      <c r="P315" s="472"/>
      <c r="Q315" s="622"/>
    </row>
    <row r="316" spans="1:17" ht="16.5">
      <c r="A316" s="171"/>
      <c r="B316" s="174"/>
      <c r="C316" s="170" t="s">
        <v>2</v>
      </c>
      <c r="D316" s="490"/>
      <c r="E316" s="461">
        <v>13500</v>
      </c>
      <c r="F316" s="461">
        <f t="shared" si="57"/>
        <v>13500</v>
      </c>
      <c r="G316" s="484">
        <f t="shared" si="52"/>
        <v>13500</v>
      </c>
      <c r="H316" s="461">
        <f>E316</f>
        <v>13500</v>
      </c>
      <c r="I316" s="461"/>
      <c r="J316" s="461"/>
      <c r="K316" s="461"/>
      <c r="L316" s="490"/>
      <c r="M316" s="461">
        <v>13500</v>
      </c>
      <c r="N316" s="461">
        <v>13500</v>
      </c>
      <c r="O316" s="470">
        <f t="shared" si="55"/>
        <v>13500</v>
      </c>
      <c r="P316" s="461"/>
      <c r="Q316" s="622"/>
    </row>
    <row r="317" spans="1:17" ht="16.5">
      <c r="A317" s="171"/>
      <c r="B317" s="174"/>
      <c r="C317" s="170" t="s">
        <v>181</v>
      </c>
      <c r="D317" s="490"/>
      <c r="E317" s="461">
        <v>2500</v>
      </c>
      <c r="F317" s="461">
        <f t="shared" si="57"/>
        <v>2500</v>
      </c>
      <c r="G317" s="484">
        <f t="shared" si="52"/>
        <v>2500</v>
      </c>
      <c r="H317" s="461">
        <f>E317</f>
        <v>2500</v>
      </c>
      <c r="I317" s="461"/>
      <c r="J317" s="461"/>
      <c r="K317" s="461"/>
      <c r="L317" s="490"/>
      <c r="M317" s="461">
        <v>2500</v>
      </c>
      <c r="N317" s="461">
        <v>2500</v>
      </c>
      <c r="O317" s="470">
        <f t="shared" si="55"/>
        <v>2500</v>
      </c>
      <c r="P317" s="461"/>
      <c r="Q317" s="622"/>
    </row>
    <row r="318" spans="1:17" ht="30">
      <c r="A318" s="171"/>
      <c r="B318" s="174"/>
      <c r="C318" s="170" t="s">
        <v>368</v>
      </c>
      <c r="D318" s="490"/>
      <c r="E318" s="461">
        <v>4500</v>
      </c>
      <c r="F318" s="461">
        <f t="shared" si="57"/>
        <v>4500</v>
      </c>
      <c r="G318" s="484">
        <f t="shared" si="52"/>
        <v>4500</v>
      </c>
      <c r="H318" s="461">
        <f>E318</f>
        <v>4500</v>
      </c>
      <c r="I318" s="461"/>
      <c r="J318" s="461"/>
      <c r="K318" s="461"/>
      <c r="L318" s="490"/>
      <c r="M318" s="461">
        <v>4500</v>
      </c>
      <c r="N318" s="461">
        <v>4500</v>
      </c>
      <c r="O318" s="470">
        <f t="shared" si="55"/>
        <v>4500</v>
      </c>
      <c r="P318" s="461"/>
      <c r="Q318" s="622"/>
    </row>
    <row r="319" spans="1:17" ht="16.5">
      <c r="A319" s="171"/>
      <c r="B319" s="174"/>
      <c r="C319" s="170" t="s">
        <v>361</v>
      </c>
      <c r="D319" s="490"/>
      <c r="E319" s="461">
        <v>12000</v>
      </c>
      <c r="F319" s="461">
        <f t="shared" si="57"/>
        <v>12000</v>
      </c>
      <c r="G319" s="484">
        <f t="shared" si="52"/>
        <v>12000</v>
      </c>
      <c r="H319" s="461">
        <v>12000</v>
      </c>
      <c r="I319" s="461"/>
      <c r="J319" s="461"/>
      <c r="K319" s="461"/>
      <c r="L319" s="490"/>
      <c r="M319" s="461">
        <v>12000</v>
      </c>
      <c r="N319" s="461">
        <v>12000</v>
      </c>
      <c r="O319" s="470">
        <f t="shared" si="55"/>
        <v>12000</v>
      </c>
      <c r="P319" s="461"/>
      <c r="Q319" s="622"/>
    </row>
    <row r="320" spans="1:17" ht="16.5">
      <c r="A320" s="171"/>
      <c r="B320" s="174"/>
      <c r="C320" s="170" t="s">
        <v>298</v>
      </c>
      <c r="D320" s="490"/>
      <c r="E320" s="461">
        <v>6000</v>
      </c>
      <c r="F320" s="461">
        <f t="shared" si="57"/>
        <v>6000</v>
      </c>
      <c r="G320" s="484">
        <f t="shared" si="52"/>
        <v>6000</v>
      </c>
      <c r="H320" s="461">
        <v>6000</v>
      </c>
      <c r="I320" s="461"/>
      <c r="J320" s="461"/>
      <c r="K320" s="461"/>
      <c r="L320" s="490"/>
      <c r="M320" s="461">
        <v>6000</v>
      </c>
      <c r="N320" s="461">
        <v>6000</v>
      </c>
      <c r="O320" s="470">
        <f t="shared" si="55"/>
        <v>6000</v>
      </c>
      <c r="P320" s="461"/>
      <c r="Q320" s="622"/>
    </row>
    <row r="321" spans="1:17" ht="16.5">
      <c r="A321" s="171"/>
      <c r="B321" s="174"/>
      <c r="C321" s="170" t="s">
        <v>320</v>
      </c>
      <c r="D321" s="490"/>
      <c r="E321" s="461">
        <v>16930</v>
      </c>
      <c r="F321" s="461">
        <f t="shared" si="57"/>
        <v>16930</v>
      </c>
      <c r="G321" s="484">
        <f t="shared" si="52"/>
        <v>16930</v>
      </c>
      <c r="H321" s="461">
        <v>16930</v>
      </c>
      <c r="I321" s="461"/>
      <c r="J321" s="461"/>
      <c r="K321" s="461"/>
      <c r="L321" s="490"/>
      <c r="M321" s="461">
        <v>17930</v>
      </c>
      <c r="N321" s="461">
        <v>17930</v>
      </c>
      <c r="O321" s="470">
        <f t="shared" si="55"/>
        <v>17930</v>
      </c>
      <c r="P321" s="461"/>
      <c r="Q321" s="622"/>
    </row>
    <row r="322" spans="1:17" ht="16.5">
      <c r="A322" s="171"/>
      <c r="B322" s="174"/>
      <c r="C322" s="522" t="s">
        <v>936</v>
      </c>
      <c r="D322" s="490"/>
      <c r="E322" s="461"/>
      <c r="F322" s="461"/>
      <c r="G322" s="484"/>
      <c r="H322" s="461"/>
      <c r="I322" s="461"/>
      <c r="J322" s="523"/>
      <c r="K322" s="461"/>
      <c r="L322" s="490"/>
      <c r="M322" s="461">
        <v>15000</v>
      </c>
      <c r="N322" s="461">
        <v>15000</v>
      </c>
      <c r="O322" s="470">
        <f t="shared" si="55"/>
        <v>15000</v>
      </c>
      <c r="P322" s="461"/>
      <c r="Q322" s="622"/>
    </row>
    <row r="323" spans="1:17" ht="16.5">
      <c r="A323" s="171" t="s">
        <v>29</v>
      </c>
      <c r="B323" s="174"/>
      <c r="C323" s="169" t="s">
        <v>177</v>
      </c>
      <c r="D323" s="490"/>
      <c r="E323" s="491">
        <f>SUM(E324:E327)</f>
        <v>110000</v>
      </c>
      <c r="F323" s="491">
        <f t="shared" si="57"/>
        <v>70000</v>
      </c>
      <c r="G323" s="472">
        <f t="shared" si="52"/>
        <v>70000</v>
      </c>
      <c r="H323" s="491">
        <f>SUM(H324:H327)</f>
        <v>55000</v>
      </c>
      <c r="I323" s="491">
        <f>SUM(I324:I327)</f>
        <v>15000</v>
      </c>
      <c r="J323" s="491">
        <f t="shared" ref="J323:L323" si="59">SUM(J324:J327)</f>
        <v>0</v>
      </c>
      <c r="K323" s="491">
        <f t="shared" si="59"/>
        <v>0</v>
      </c>
      <c r="L323" s="492">
        <f t="shared" si="59"/>
        <v>0</v>
      </c>
      <c r="M323" s="491">
        <f>SUM(M324:M327)</f>
        <v>90000</v>
      </c>
      <c r="N323" s="491">
        <f>SUM(N324:N327)</f>
        <v>65000</v>
      </c>
      <c r="O323" s="466">
        <f t="shared" si="55"/>
        <v>65000</v>
      </c>
      <c r="P323" s="491"/>
      <c r="Q323" s="622"/>
    </row>
    <row r="324" spans="1:17" ht="30">
      <c r="A324" s="171"/>
      <c r="B324" s="174"/>
      <c r="C324" s="170" t="s">
        <v>937</v>
      </c>
      <c r="D324" s="490"/>
      <c r="E324" s="488">
        <v>50000</v>
      </c>
      <c r="F324" s="488">
        <f t="shared" si="57"/>
        <v>35000</v>
      </c>
      <c r="G324" s="484">
        <f t="shared" si="52"/>
        <v>35000</v>
      </c>
      <c r="H324" s="488">
        <v>20000</v>
      </c>
      <c r="I324" s="488">
        <v>15000</v>
      </c>
      <c r="J324" s="488"/>
      <c r="K324" s="488"/>
      <c r="L324" s="490"/>
      <c r="M324" s="488">
        <v>45000</v>
      </c>
      <c r="N324" s="488">
        <f>7*5000</f>
        <v>35000</v>
      </c>
      <c r="O324" s="470">
        <f t="shared" si="55"/>
        <v>35000</v>
      </c>
      <c r="P324" s="488"/>
      <c r="Q324" s="357" t="s">
        <v>938</v>
      </c>
    </row>
    <row r="325" spans="1:17" ht="16.5">
      <c r="A325" s="171"/>
      <c r="B325" s="174"/>
      <c r="C325" s="170" t="s">
        <v>294</v>
      </c>
      <c r="D325" s="490"/>
      <c r="E325" s="488">
        <v>10000</v>
      </c>
      <c r="F325" s="488">
        <f t="shared" si="57"/>
        <v>10000</v>
      </c>
      <c r="G325" s="484">
        <f t="shared" si="52"/>
        <v>10000</v>
      </c>
      <c r="H325" s="488">
        <v>10000</v>
      </c>
      <c r="I325" s="488"/>
      <c r="J325" s="488"/>
      <c r="K325" s="488"/>
      <c r="L325" s="490"/>
      <c r="M325" s="488">
        <v>15000</v>
      </c>
      <c r="N325" s="488">
        <v>10000</v>
      </c>
      <c r="O325" s="470">
        <f t="shared" si="55"/>
        <v>10000</v>
      </c>
      <c r="P325" s="488"/>
      <c r="Q325" s="634"/>
    </row>
    <row r="326" spans="1:17" ht="16.5">
      <c r="A326" s="171"/>
      <c r="B326" s="174"/>
      <c r="C326" s="170" t="s">
        <v>295</v>
      </c>
      <c r="D326" s="490"/>
      <c r="E326" s="488">
        <v>25000</v>
      </c>
      <c r="F326" s="488">
        <f t="shared" si="57"/>
        <v>15000</v>
      </c>
      <c r="G326" s="484">
        <f t="shared" si="52"/>
        <v>15000</v>
      </c>
      <c r="H326" s="488">
        <v>15000</v>
      </c>
      <c r="I326" s="488"/>
      <c r="J326" s="488"/>
      <c r="K326" s="488"/>
      <c r="L326" s="490"/>
      <c r="M326" s="488">
        <v>10000</v>
      </c>
      <c r="N326" s="488">
        <v>10000</v>
      </c>
      <c r="O326" s="470">
        <f t="shared" si="55"/>
        <v>10000</v>
      </c>
      <c r="P326" s="488"/>
      <c r="Q326" s="634"/>
    </row>
    <row r="327" spans="1:17" ht="16.5">
      <c r="A327" s="171"/>
      <c r="B327" s="174"/>
      <c r="C327" s="170" t="s">
        <v>939</v>
      </c>
      <c r="D327" s="490"/>
      <c r="E327" s="488">
        <v>25000</v>
      </c>
      <c r="F327" s="488">
        <f t="shared" si="57"/>
        <v>10000</v>
      </c>
      <c r="G327" s="484">
        <f t="shared" si="52"/>
        <v>10000</v>
      </c>
      <c r="H327" s="488">
        <v>10000</v>
      </c>
      <c r="I327" s="488"/>
      <c r="J327" s="488"/>
      <c r="K327" s="488"/>
      <c r="L327" s="490"/>
      <c r="M327" s="488">
        <v>20000</v>
      </c>
      <c r="N327" s="488">
        <v>10000</v>
      </c>
      <c r="O327" s="470">
        <f t="shared" si="55"/>
        <v>10000</v>
      </c>
      <c r="P327" s="488"/>
      <c r="Q327" s="622"/>
    </row>
    <row r="328" spans="1:17" ht="16.5">
      <c r="A328" s="478">
        <v>16</v>
      </c>
      <c r="B328" s="479"/>
      <c r="C328" s="480" t="s">
        <v>265</v>
      </c>
      <c r="D328" s="481">
        <f>SUM(D329:D341)</f>
        <v>0</v>
      </c>
      <c r="E328" s="482">
        <f>SUM(E329:E341)</f>
        <v>359900</v>
      </c>
      <c r="F328" s="491">
        <f>G328+J328</f>
        <v>366980</v>
      </c>
      <c r="G328" s="482">
        <f t="shared" si="52"/>
        <v>349900</v>
      </c>
      <c r="H328" s="482">
        <f>SUM(H329:H341)</f>
        <v>259900</v>
      </c>
      <c r="I328" s="482">
        <f>SUM(I329:I343)</f>
        <v>90000</v>
      </c>
      <c r="J328" s="482">
        <f>SUM(J329:J343)</f>
        <v>17080</v>
      </c>
      <c r="K328" s="482">
        <f>SUM(K329:K341)</f>
        <v>0</v>
      </c>
      <c r="L328" s="481">
        <f>SUM(L329:L341)</f>
        <v>0</v>
      </c>
      <c r="M328" s="482">
        <f>SUM(M329:M345)</f>
        <v>343500</v>
      </c>
      <c r="N328" s="482">
        <f>SUM(N329:N345)</f>
        <v>293500</v>
      </c>
      <c r="O328" s="466">
        <f t="shared" si="55"/>
        <v>293500</v>
      </c>
      <c r="P328" s="482"/>
      <c r="Q328" s="631"/>
    </row>
    <row r="329" spans="1:17" ht="16.5">
      <c r="A329" s="171"/>
      <c r="B329" s="174"/>
      <c r="C329" s="170" t="s">
        <v>386</v>
      </c>
      <c r="D329" s="490"/>
      <c r="E329" s="488">
        <v>13500</v>
      </c>
      <c r="F329" s="488">
        <f t="shared" si="57"/>
        <v>13500</v>
      </c>
      <c r="G329" s="484">
        <f t="shared" si="52"/>
        <v>13500</v>
      </c>
      <c r="H329" s="488">
        <v>13500</v>
      </c>
      <c r="I329" s="488"/>
      <c r="J329" s="488"/>
      <c r="K329" s="488"/>
      <c r="L329" s="490"/>
      <c r="M329" s="488">
        <v>13500</v>
      </c>
      <c r="N329" s="488">
        <v>13500</v>
      </c>
      <c r="O329" s="470">
        <f t="shared" si="55"/>
        <v>13500</v>
      </c>
      <c r="P329" s="488"/>
      <c r="Q329" s="622"/>
    </row>
    <row r="330" spans="1:17" ht="16.5">
      <c r="A330" s="171"/>
      <c r="B330" s="174"/>
      <c r="C330" s="170" t="s">
        <v>64</v>
      </c>
      <c r="D330" s="490"/>
      <c r="E330" s="488">
        <v>5500</v>
      </c>
      <c r="F330" s="488">
        <f t="shared" si="57"/>
        <v>5500</v>
      </c>
      <c r="G330" s="484">
        <f t="shared" si="52"/>
        <v>5500</v>
      </c>
      <c r="H330" s="488">
        <v>5500</v>
      </c>
      <c r="I330" s="488"/>
      <c r="J330" s="488"/>
      <c r="K330" s="488"/>
      <c r="L330" s="490"/>
      <c r="M330" s="488">
        <v>5500</v>
      </c>
      <c r="N330" s="488">
        <v>5500</v>
      </c>
      <c r="O330" s="470">
        <f t="shared" si="55"/>
        <v>5500</v>
      </c>
      <c r="P330" s="488"/>
      <c r="Q330" s="622"/>
    </row>
    <row r="331" spans="1:17" ht="30">
      <c r="A331" s="171"/>
      <c r="B331" s="174"/>
      <c r="C331" s="170" t="s">
        <v>387</v>
      </c>
      <c r="D331" s="490"/>
      <c r="E331" s="488">
        <v>4500</v>
      </c>
      <c r="F331" s="488">
        <f t="shared" si="57"/>
        <v>4500</v>
      </c>
      <c r="G331" s="484">
        <f t="shared" si="52"/>
        <v>4500</v>
      </c>
      <c r="H331" s="488">
        <v>4500</v>
      </c>
      <c r="I331" s="488"/>
      <c r="J331" s="488"/>
      <c r="K331" s="488"/>
      <c r="L331" s="490"/>
      <c r="M331" s="488">
        <v>4500</v>
      </c>
      <c r="N331" s="488">
        <v>4500</v>
      </c>
      <c r="O331" s="470">
        <f t="shared" si="55"/>
        <v>4500</v>
      </c>
      <c r="P331" s="488"/>
      <c r="Q331" s="622"/>
    </row>
    <row r="332" spans="1:17" ht="16.5">
      <c r="A332" s="171"/>
      <c r="B332" s="174"/>
      <c r="C332" s="170" t="s">
        <v>388</v>
      </c>
      <c r="D332" s="490"/>
      <c r="E332" s="488">
        <v>6000</v>
      </c>
      <c r="F332" s="488">
        <f t="shared" si="57"/>
        <v>6000</v>
      </c>
      <c r="G332" s="484">
        <f t="shared" si="52"/>
        <v>6000</v>
      </c>
      <c r="H332" s="488">
        <v>6000</v>
      </c>
      <c r="I332" s="488"/>
      <c r="J332" s="488"/>
      <c r="K332" s="488"/>
      <c r="L332" s="490"/>
      <c r="M332" s="488">
        <v>6000</v>
      </c>
      <c r="N332" s="488">
        <v>6000</v>
      </c>
      <c r="O332" s="470">
        <f t="shared" si="55"/>
        <v>6000</v>
      </c>
      <c r="P332" s="488"/>
      <c r="Q332" s="622"/>
    </row>
    <row r="333" spans="1:17" ht="16.5">
      <c r="A333" s="171"/>
      <c r="B333" s="174"/>
      <c r="C333" s="170" t="s">
        <v>362</v>
      </c>
      <c r="D333" s="490"/>
      <c r="E333" s="488">
        <v>12000</v>
      </c>
      <c r="F333" s="488">
        <f t="shared" si="57"/>
        <v>12000</v>
      </c>
      <c r="G333" s="484">
        <f t="shared" si="52"/>
        <v>12000</v>
      </c>
      <c r="H333" s="488">
        <v>12000</v>
      </c>
      <c r="I333" s="488"/>
      <c r="J333" s="488"/>
      <c r="K333" s="488"/>
      <c r="L333" s="490"/>
      <c r="M333" s="488">
        <v>12000</v>
      </c>
      <c r="N333" s="488">
        <v>12000</v>
      </c>
      <c r="O333" s="470">
        <f t="shared" si="55"/>
        <v>12000</v>
      </c>
      <c r="P333" s="488"/>
      <c r="Q333" s="622"/>
    </row>
    <row r="334" spans="1:17" ht="90">
      <c r="A334" s="173"/>
      <c r="B334" s="174"/>
      <c r="C334" s="170" t="s">
        <v>940</v>
      </c>
      <c r="D334" s="490"/>
      <c r="E334" s="488">
        <v>50000</v>
      </c>
      <c r="F334" s="488">
        <f t="shared" si="57"/>
        <v>57080</v>
      </c>
      <c r="G334" s="484">
        <f t="shared" si="52"/>
        <v>40000</v>
      </c>
      <c r="H334" s="488">
        <v>20000</v>
      </c>
      <c r="I334" s="488">
        <v>20000</v>
      </c>
      <c r="J334" s="488">
        <v>17080</v>
      </c>
      <c r="K334" s="488"/>
      <c r="L334" s="490"/>
      <c r="M334" s="488">
        <v>50000</v>
      </c>
      <c r="N334" s="488">
        <v>50000</v>
      </c>
      <c r="O334" s="470">
        <f t="shared" si="55"/>
        <v>50000</v>
      </c>
      <c r="P334" s="488"/>
      <c r="Q334" s="622"/>
    </row>
    <row r="335" spans="1:17" ht="16.5">
      <c r="A335" s="173"/>
      <c r="B335" s="174"/>
      <c r="C335" s="170" t="s">
        <v>3</v>
      </c>
      <c r="D335" s="490"/>
      <c r="E335" s="488">
        <v>10000</v>
      </c>
      <c r="F335" s="488">
        <f t="shared" si="57"/>
        <v>10000</v>
      </c>
      <c r="G335" s="484">
        <f t="shared" si="52"/>
        <v>10000</v>
      </c>
      <c r="H335" s="488">
        <v>10000</v>
      </c>
      <c r="I335" s="488"/>
      <c r="J335" s="488"/>
      <c r="K335" s="488"/>
      <c r="L335" s="490"/>
      <c r="M335" s="488">
        <v>10000</v>
      </c>
      <c r="N335" s="488">
        <v>10000</v>
      </c>
      <c r="O335" s="470">
        <f t="shared" si="55"/>
        <v>10000</v>
      </c>
      <c r="P335" s="488"/>
      <c r="Q335" s="622"/>
    </row>
    <row r="336" spans="1:17" ht="16.5">
      <c r="A336" s="173"/>
      <c r="B336" s="174"/>
      <c r="C336" s="170" t="s">
        <v>169</v>
      </c>
      <c r="D336" s="490"/>
      <c r="E336" s="488">
        <v>10000</v>
      </c>
      <c r="F336" s="488">
        <f t="shared" si="57"/>
        <v>10000</v>
      </c>
      <c r="G336" s="484">
        <f t="shared" si="52"/>
        <v>10000</v>
      </c>
      <c r="H336" s="488">
        <v>10000</v>
      </c>
      <c r="I336" s="488"/>
      <c r="J336" s="488"/>
      <c r="K336" s="488"/>
      <c r="L336" s="490"/>
      <c r="M336" s="488">
        <v>10000</v>
      </c>
      <c r="N336" s="488">
        <v>10000</v>
      </c>
      <c r="O336" s="470">
        <f t="shared" si="55"/>
        <v>10000</v>
      </c>
      <c r="P336" s="488"/>
      <c r="Q336" s="622"/>
    </row>
    <row r="337" spans="1:17" ht="16.5">
      <c r="A337" s="173"/>
      <c r="B337" s="174"/>
      <c r="C337" s="170" t="s">
        <v>266</v>
      </c>
      <c r="D337" s="490"/>
      <c r="E337" s="488">
        <v>10000</v>
      </c>
      <c r="F337" s="488">
        <f t="shared" si="57"/>
        <v>10000</v>
      </c>
      <c r="G337" s="484">
        <f t="shared" ref="G337:G380" si="60">H337+I337</f>
        <v>10000</v>
      </c>
      <c r="H337" s="488">
        <v>10000</v>
      </c>
      <c r="I337" s="488"/>
      <c r="J337" s="488"/>
      <c r="K337" s="488"/>
      <c r="L337" s="490"/>
      <c r="M337" s="488">
        <v>10000</v>
      </c>
      <c r="N337" s="488">
        <v>10000</v>
      </c>
      <c r="O337" s="470">
        <f t="shared" si="55"/>
        <v>10000</v>
      </c>
      <c r="P337" s="488"/>
      <c r="Q337" s="622"/>
    </row>
    <row r="338" spans="1:17" ht="30">
      <c r="A338" s="171"/>
      <c r="B338" s="174"/>
      <c r="C338" s="170" t="s">
        <v>941</v>
      </c>
      <c r="D338" s="490"/>
      <c r="E338" s="488">
        <f>17*100*12</f>
        <v>20400</v>
      </c>
      <c r="F338" s="488">
        <f t="shared" si="57"/>
        <v>20400</v>
      </c>
      <c r="G338" s="484">
        <f t="shared" si="60"/>
        <v>20400</v>
      </c>
      <c r="H338" s="488">
        <v>20400</v>
      </c>
      <c r="I338" s="488"/>
      <c r="J338" s="488"/>
      <c r="K338" s="488"/>
      <c r="L338" s="490"/>
      <c r="M338" s="488">
        <v>24000</v>
      </c>
      <c r="N338" s="488">
        <v>24000</v>
      </c>
      <c r="O338" s="470">
        <f t="shared" si="55"/>
        <v>24000</v>
      </c>
      <c r="P338" s="488"/>
      <c r="Q338" s="622"/>
    </row>
    <row r="339" spans="1:17" ht="16.5">
      <c r="A339" s="171"/>
      <c r="B339" s="174"/>
      <c r="C339" s="170" t="s">
        <v>206</v>
      </c>
      <c r="D339" s="490"/>
      <c r="E339" s="488">
        <v>170000</v>
      </c>
      <c r="F339" s="488">
        <f t="shared" si="57"/>
        <v>170000</v>
      </c>
      <c r="G339" s="484">
        <f t="shared" si="60"/>
        <v>170000</v>
      </c>
      <c r="H339" s="488">
        <v>100000</v>
      </c>
      <c r="I339" s="488">
        <v>70000</v>
      </c>
      <c r="J339" s="488"/>
      <c r="K339" s="488"/>
      <c r="L339" s="490"/>
      <c r="M339" s="488"/>
      <c r="N339" s="488"/>
      <c r="O339" s="470"/>
      <c r="P339" s="488"/>
      <c r="Q339" s="622"/>
    </row>
    <row r="340" spans="1:17" ht="16.5">
      <c r="A340" s="171"/>
      <c r="B340" s="174"/>
      <c r="C340" s="170" t="s">
        <v>521</v>
      </c>
      <c r="D340" s="490"/>
      <c r="E340" s="488">
        <v>38000</v>
      </c>
      <c r="F340" s="488">
        <f t="shared" si="57"/>
        <v>38000</v>
      </c>
      <c r="G340" s="484">
        <f t="shared" si="60"/>
        <v>38000</v>
      </c>
      <c r="H340" s="488">
        <v>38000</v>
      </c>
      <c r="I340" s="488"/>
      <c r="J340" s="488"/>
      <c r="K340" s="488"/>
      <c r="L340" s="490"/>
      <c r="M340" s="488">
        <v>38000</v>
      </c>
      <c r="N340" s="488">
        <v>38000</v>
      </c>
      <c r="O340" s="470">
        <f t="shared" si="55"/>
        <v>38000</v>
      </c>
      <c r="P340" s="488"/>
      <c r="Q340" s="622"/>
    </row>
    <row r="341" spans="1:17" ht="16.5">
      <c r="A341" s="171"/>
      <c r="B341" s="174"/>
      <c r="C341" s="170" t="s">
        <v>239</v>
      </c>
      <c r="D341" s="490"/>
      <c r="E341" s="488">
        <v>10000</v>
      </c>
      <c r="F341" s="488">
        <f t="shared" si="57"/>
        <v>10000</v>
      </c>
      <c r="G341" s="484">
        <f t="shared" si="60"/>
        <v>10000</v>
      </c>
      <c r="H341" s="488">
        <v>10000</v>
      </c>
      <c r="I341" s="488"/>
      <c r="J341" s="488"/>
      <c r="K341" s="488"/>
      <c r="L341" s="490"/>
      <c r="M341" s="488">
        <v>10000</v>
      </c>
      <c r="N341" s="488">
        <v>10000</v>
      </c>
      <c r="O341" s="470">
        <f t="shared" si="55"/>
        <v>10000</v>
      </c>
      <c r="P341" s="488"/>
      <c r="Q341" s="622"/>
    </row>
    <row r="342" spans="1:17" ht="16.5">
      <c r="A342" s="171"/>
      <c r="B342" s="174"/>
      <c r="C342" s="170" t="s">
        <v>942</v>
      </c>
      <c r="D342" s="490"/>
      <c r="E342" s="488"/>
      <c r="F342" s="488">
        <f t="shared" si="57"/>
        <v>0</v>
      </c>
      <c r="G342" s="484"/>
      <c r="H342" s="488"/>
      <c r="I342" s="488"/>
      <c r="J342" s="488"/>
      <c r="K342" s="488"/>
      <c r="L342" s="490"/>
      <c r="M342" s="488">
        <v>10000</v>
      </c>
      <c r="N342" s="488">
        <v>10000</v>
      </c>
      <c r="O342" s="470">
        <f t="shared" si="55"/>
        <v>10000</v>
      </c>
      <c r="P342" s="488"/>
      <c r="Q342" s="622"/>
    </row>
    <row r="343" spans="1:17" ht="60">
      <c r="A343" s="171"/>
      <c r="B343" s="174"/>
      <c r="C343" s="476" t="s">
        <v>943</v>
      </c>
      <c r="D343" s="513"/>
      <c r="E343" s="514"/>
      <c r="F343" s="514">
        <f t="shared" si="57"/>
        <v>0</v>
      </c>
      <c r="G343" s="515"/>
      <c r="H343" s="514"/>
      <c r="I343" s="514"/>
      <c r="J343" s="514"/>
      <c r="K343" s="488"/>
      <c r="L343" s="490"/>
      <c r="M343" s="494">
        <v>50000</v>
      </c>
      <c r="N343" s="488"/>
      <c r="O343" s="470">
        <f t="shared" si="55"/>
        <v>0</v>
      </c>
      <c r="P343" s="488"/>
      <c r="Q343" s="641" t="s">
        <v>944</v>
      </c>
    </row>
    <row r="344" spans="1:17" ht="16.5">
      <c r="A344" s="171"/>
      <c r="B344" s="174"/>
      <c r="C344" s="524" t="s">
        <v>945</v>
      </c>
      <c r="D344" s="525"/>
      <c r="E344" s="521"/>
      <c r="F344" s="521"/>
      <c r="G344" s="526"/>
      <c r="H344" s="521"/>
      <c r="I344" s="521"/>
      <c r="J344" s="527"/>
      <c r="K344" s="488"/>
      <c r="L344" s="490"/>
      <c r="M344" s="494">
        <v>40000</v>
      </c>
      <c r="N344" s="488">
        <v>40000</v>
      </c>
      <c r="O344" s="470">
        <f t="shared" si="55"/>
        <v>40000</v>
      </c>
      <c r="P344" s="488"/>
      <c r="Q344" s="631"/>
    </row>
    <row r="345" spans="1:17" ht="16.5">
      <c r="A345" s="171"/>
      <c r="B345" s="174"/>
      <c r="C345" s="524" t="s">
        <v>946</v>
      </c>
      <c r="D345" s="525"/>
      <c r="E345" s="521"/>
      <c r="F345" s="521"/>
      <c r="G345" s="526"/>
      <c r="H345" s="521"/>
      <c r="I345" s="521"/>
      <c r="J345" s="527"/>
      <c r="K345" s="488"/>
      <c r="L345" s="490"/>
      <c r="M345" s="494">
        <v>50000</v>
      </c>
      <c r="N345" s="488">
        <v>50000</v>
      </c>
      <c r="O345" s="470">
        <f t="shared" si="55"/>
        <v>50000</v>
      </c>
      <c r="P345" s="488"/>
      <c r="Q345" s="631"/>
    </row>
    <row r="346" spans="1:17" ht="16.5">
      <c r="A346" s="478">
        <v>17</v>
      </c>
      <c r="B346" s="479"/>
      <c r="C346" s="518" t="s">
        <v>947</v>
      </c>
      <c r="D346" s="528" t="e">
        <f>#REF!</f>
        <v>#REF!</v>
      </c>
      <c r="E346" s="529" t="e">
        <f>#REF!</f>
        <v>#REF!</v>
      </c>
      <c r="F346" s="530">
        <f t="shared" si="57"/>
        <v>69500</v>
      </c>
      <c r="G346" s="520">
        <f>H346+I346</f>
        <v>69500</v>
      </c>
      <c r="H346" s="529">
        <f t="shared" ref="H346:N346" si="61">SUM(H347:H351)</f>
        <v>69500</v>
      </c>
      <c r="I346" s="529">
        <f t="shared" si="61"/>
        <v>0</v>
      </c>
      <c r="J346" s="529">
        <f t="shared" si="61"/>
        <v>0</v>
      </c>
      <c r="K346" s="483">
        <f t="shared" si="61"/>
        <v>0</v>
      </c>
      <c r="L346" s="531">
        <f t="shared" si="61"/>
        <v>0</v>
      </c>
      <c r="M346" s="483">
        <f t="shared" si="61"/>
        <v>62000</v>
      </c>
      <c r="N346" s="483">
        <f t="shared" si="61"/>
        <v>62000</v>
      </c>
      <c r="O346" s="466">
        <f t="shared" ref="O346:O396" si="62">N346</f>
        <v>62000</v>
      </c>
      <c r="P346" s="483"/>
      <c r="Q346" s="642"/>
    </row>
    <row r="347" spans="1:17" ht="16.5">
      <c r="A347" s="171"/>
      <c r="B347" s="172"/>
      <c r="C347" s="170" t="s">
        <v>948</v>
      </c>
      <c r="D347" s="490"/>
      <c r="E347" s="488">
        <v>26000</v>
      </c>
      <c r="F347" s="488">
        <f t="shared" si="57"/>
        <v>26000</v>
      </c>
      <c r="G347" s="484">
        <f t="shared" si="60"/>
        <v>26000</v>
      </c>
      <c r="H347" s="488">
        <f>E347</f>
        <v>26000</v>
      </c>
      <c r="I347" s="488"/>
      <c r="J347" s="488"/>
      <c r="K347" s="488"/>
      <c r="L347" s="490"/>
      <c r="M347" s="488">
        <f>5000+2*4500+2*4000</f>
        <v>22000</v>
      </c>
      <c r="N347" s="488">
        <f>M347</f>
        <v>22000</v>
      </c>
      <c r="O347" s="470">
        <f t="shared" si="62"/>
        <v>22000</v>
      </c>
      <c r="P347" s="488"/>
      <c r="Q347" s="622"/>
    </row>
    <row r="348" spans="1:17" ht="16.5">
      <c r="A348" s="171"/>
      <c r="B348" s="172"/>
      <c r="C348" s="170" t="s">
        <v>49</v>
      </c>
      <c r="D348" s="490"/>
      <c r="E348" s="488">
        <v>10500</v>
      </c>
      <c r="F348" s="488">
        <f t="shared" si="57"/>
        <v>10500</v>
      </c>
      <c r="G348" s="484">
        <f t="shared" si="60"/>
        <v>10500</v>
      </c>
      <c r="H348" s="488">
        <f>E348</f>
        <v>10500</v>
      </c>
      <c r="I348" s="488"/>
      <c r="J348" s="488"/>
      <c r="K348" s="488"/>
      <c r="L348" s="490"/>
      <c r="M348" s="488">
        <v>10500</v>
      </c>
      <c r="N348" s="488">
        <f>M348</f>
        <v>10500</v>
      </c>
      <c r="O348" s="470">
        <f t="shared" si="62"/>
        <v>10500</v>
      </c>
      <c r="P348" s="488"/>
      <c r="Q348" s="622"/>
    </row>
    <row r="349" spans="1:17" ht="30">
      <c r="A349" s="171"/>
      <c r="B349" s="172"/>
      <c r="C349" s="170" t="s">
        <v>949</v>
      </c>
      <c r="D349" s="490"/>
      <c r="E349" s="488">
        <v>9000</v>
      </c>
      <c r="F349" s="488">
        <f t="shared" si="57"/>
        <v>9000</v>
      </c>
      <c r="G349" s="484">
        <f t="shared" si="60"/>
        <v>9000</v>
      </c>
      <c r="H349" s="488">
        <f>E349</f>
        <v>9000</v>
      </c>
      <c r="I349" s="488"/>
      <c r="J349" s="488"/>
      <c r="K349" s="488"/>
      <c r="L349" s="490"/>
      <c r="M349" s="488">
        <f>5*300*5</f>
        <v>7500</v>
      </c>
      <c r="N349" s="488">
        <f>M349</f>
        <v>7500</v>
      </c>
      <c r="O349" s="470">
        <f t="shared" si="62"/>
        <v>7500</v>
      </c>
      <c r="P349" s="488"/>
      <c r="Q349" s="622"/>
    </row>
    <row r="350" spans="1:17" ht="16.5">
      <c r="A350" s="171"/>
      <c r="B350" s="172"/>
      <c r="C350" s="170" t="s">
        <v>950</v>
      </c>
      <c r="D350" s="490"/>
      <c r="E350" s="488">
        <v>12000</v>
      </c>
      <c r="F350" s="488">
        <f t="shared" si="57"/>
        <v>12000</v>
      </c>
      <c r="G350" s="484">
        <f t="shared" si="60"/>
        <v>12000</v>
      </c>
      <c r="H350" s="488">
        <v>12000</v>
      </c>
      <c r="I350" s="488"/>
      <c r="J350" s="488"/>
      <c r="K350" s="488"/>
      <c r="L350" s="490"/>
      <c r="M350" s="488">
        <v>10000</v>
      </c>
      <c r="N350" s="488">
        <f>M350</f>
        <v>10000</v>
      </c>
      <c r="O350" s="470">
        <f t="shared" si="62"/>
        <v>10000</v>
      </c>
      <c r="P350" s="488"/>
      <c r="Q350" s="622"/>
    </row>
    <row r="351" spans="1:17" ht="16.5">
      <c r="A351" s="171"/>
      <c r="B351" s="172"/>
      <c r="C351" s="170" t="s">
        <v>363</v>
      </c>
      <c r="D351" s="490"/>
      <c r="E351" s="488">
        <v>12000</v>
      </c>
      <c r="F351" s="488">
        <f t="shared" si="57"/>
        <v>12000</v>
      </c>
      <c r="G351" s="484">
        <f t="shared" si="60"/>
        <v>12000</v>
      </c>
      <c r="H351" s="488">
        <f>E351</f>
        <v>12000</v>
      </c>
      <c r="I351" s="488"/>
      <c r="J351" s="488"/>
      <c r="K351" s="488"/>
      <c r="L351" s="490"/>
      <c r="M351" s="488">
        <v>12000</v>
      </c>
      <c r="N351" s="488">
        <f>M351</f>
        <v>12000</v>
      </c>
      <c r="O351" s="470">
        <f t="shared" si="62"/>
        <v>12000</v>
      </c>
      <c r="P351" s="488"/>
      <c r="Q351" s="622"/>
    </row>
    <row r="352" spans="1:17" ht="16.5">
      <c r="A352" s="478">
        <v>18</v>
      </c>
      <c r="B352" s="479"/>
      <c r="C352" s="480" t="s">
        <v>810</v>
      </c>
      <c r="D352" s="481">
        <f>SUM(D353:D357)</f>
        <v>0</v>
      </c>
      <c r="E352" s="482">
        <f>SUM(E353:E357)</f>
        <v>56000</v>
      </c>
      <c r="F352" s="491">
        <f t="shared" si="57"/>
        <v>56000</v>
      </c>
      <c r="G352" s="482">
        <f t="shared" si="60"/>
        <v>56000</v>
      </c>
      <c r="H352" s="482">
        <f t="shared" ref="H352:N352" si="63">SUM(H353:H357)</f>
        <v>56000</v>
      </c>
      <c r="I352" s="482">
        <f t="shared" si="63"/>
        <v>0</v>
      </c>
      <c r="J352" s="482">
        <f t="shared" si="63"/>
        <v>0</v>
      </c>
      <c r="K352" s="482">
        <f t="shared" si="63"/>
        <v>0</v>
      </c>
      <c r="L352" s="481">
        <f t="shared" si="63"/>
        <v>0</v>
      </c>
      <c r="M352" s="482">
        <f t="shared" si="63"/>
        <v>56000</v>
      </c>
      <c r="N352" s="482">
        <f t="shared" si="63"/>
        <v>56000</v>
      </c>
      <c r="O352" s="466">
        <f t="shared" si="62"/>
        <v>56000</v>
      </c>
      <c r="P352" s="482"/>
      <c r="Q352" s="622"/>
    </row>
    <row r="353" spans="1:17" ht="16.5">
      <c r="A353" s="171"/>
      <c r="B353" s="174"/>
      <c r="C353" s="170" t="s">
        <v>143</v>
      </c>
      <c r="D353" s="490"/>
      <c r="E353" s="488">
        <f>5000+4500+3*4000</f>
        <v>21500</v>
      </c>
      <c r="F353" s="488">
        <f t="shared" si="57"/>
        <v>21500</v>
      </c>
      <c r="G353" s="484">
        <f t="shared" si="60"/>
        <v>21500</v>
      </c>
      <c r="H353" s="488">
        <v>21500</v>
      </c>
      <c r="I353" s="488"/>
      <c r="J353" s="488"/>
      <c r="K353" s="488"/>
      <c r="L353" s="490"/>
      <c r="M353" s="488">
        <v>21500</v>
      </c>
      <c r="N353" s="488">
        <v>21500</v>
      </c>
      <c r="O353" s="470">
        <f t="shared" si="62"/>
        <v>21500</v>
      </c>
      <c r="P353" s="488"/>
      <c r="Q353" s="622"/>
    </row>
    <row r="354" spans="1:17" ht="16.5">
      <c r="A354" s="171"/>
      <c r="B354" s="174"/>
      <c r="C354" s="170" t="s">
        <v>144</v>
      </c>
      <c r="D354" s="490"/>
      <c r="E354" s="488">
        <v>5000</v>
      </c>
      <c r="F354" s="488">
        <f t="shared" si="57"/>
        <v>5000</v>
      </c>
      <c r="G354" s="484">
        <f t="shared" si="60"/>
        <v>5000</v>
      </c>
      <c r="H354" s="488">
        <v>5000</v>
      </c>
      <c r="I354" s="488"/>
      <c r="J354" s="488"/>
      <c r="K354" s="488"/>
      <c r="L354" s="490"/>
      <c r="M354" s="488">
        <v>5000</v>
      </c>
      <c r="N354" s="488">
        <v>5000</v>
      </c>
      <c r="O354" s="470">
        <f t="shared" si="62"/>
        <v>5000</v>
      </c>
      <c r="P354" s="488"/>
      <c r="Q354" s="622"/>
    </row>
    <row r="355" spans="1:17" ht="30">
      <c r="A355" s="171"/>
      <c r="B355" s="174"/>
      <c r="C355" s="170" t="s">
        <v>164</v>
      </c>
      <c r="D355" s="490"/>
      <c r="E355" s="488">
        <f>5*300*5</f>
        <v>7500</v>
      </c>
      <c r="F355" s="488">
        <f t="shared" si="57"/>
        <v>7500</v>
      </c>
      <c r="G355" s="484">
        <f t="shared" si="60"/>
        <v>7500</v>
      </c>
      <c r="H355" s="488">
        <v>7500</v>
      </c>
      <c r="I355" s="488"/>
      <c r="J355" s="488"/>
      <c r="K355" s="488"/>
      <c r="L355" s="490"/>
      <c r="M355" s="488">
        <v>7500</v>
      </c>
      <c r="N355" s="488">
        <v>7500</v>
      </c>
      <c r="O355" s="470">
        <f t="shared" si="62"/>
        <v>7500</v>
      </c>
      <c r="P355" s="488"/>
      <c r="Q355" s="622"/>
    </row>
    <row r="356" spans="1:17" ht="16.5">
      <c r="A356" s="171"/>
      <c r="B356" s="174"/>
      <c r="C356" s="170" t="s">
        <v>145</v>
      </c>
      <c r="D356" s="490"/>
      <c r="E356" s="488">
        <v>10000</v>
      </c>
      <c r="F356" s="488">
        <f t="shared" si="57"/>
        <v>10000</v>
      </c>
      <c r="G356" s="484">
        <f t="shared" si="60"/>
        <v>10000</v>
      </c>
      <c r="H356" s="488">
        <v>10000</v>
      </c>
      <c r="I356" s="488"/>
      <c r="J356" s="488"/>
      <c r="K356" s="488"/>
      <c r="L356" s="490"/>
      <c r="M356" s="488">
        <v>10000</v>
      </c>
      <c r="N356" s="488">
        <v>10000</v>
      </c>
      <c r="O356" s="470">
        <f t="shared" si="62"/>
        <v>10000</v>
      </c>
      <c r="P356" s="488"/>
      <c r="Q356" s="622"/>
    </row>
    <row r="357" spans="1:17" ht="16.5">
      <c r="A357" s="171"/>
      <c r="B357" s="174"/>
      <c r="C357" s="170" t="s">
        <v>364</v>
      </c>
      <c r="D357" s="490"/>
      <c r="E357" s="488">
        <v>12000</v>
      </c>
      <c r="F357" s="488">
        <f t="shared" si="57"/>
        <v>12000</v>
      </c>
      <c r="G357" s="484">
        <f t="shared" si="60"/>
        <v>12000</v>
      </c>
      <c r="H357" s="488">
        <v>12000</v>
      </c>
      <c r="I357" s="488"/>
      <c r="J357" s="488"/>
      <c r="K357" s="488"/>
      <c r="L357" s="490"/>
      <c r="M357" s="488">
        <v>12000</v>
      </c>
      <c r="N357" s="488">
        <v>12000</v>
      </c>
      <c r="O357" s="470">
        <f t="shared" si="62"/>
        <v>12000</v>
      </c>
      <c r="P357" s="488"/>
      <c r="Q357" s="622"/>
    </row>
    <row r="358" spans="1:17" ht="16.5">
      <c r="A358" s="478">
        <v>19</v>
      </c>
      <c r="B358" s="498"/>
      <c r="C358" s="480" t="s">
        <v>582</v>
      </c>
      <c r="D358" s="531" t="e">
        <f>#REF!</f>
        <v>#REF!</v>
      </c>
      <c r="E358" s="464" t="e">
        <f>#REF!</f>
        <v>#REF!</v>
      </c>
      <c r="F358" s="491">
        <f t="shared" si="57"/>
        <v>52000</v>
      </c>
      <c r="G358" s="472">
        <f>SUM(G359:G364)</f>
        <v>52000</v>
      </c>
      <c r="H358" s="472">
        <f t="shared" ref="H358:M358" si="64">SUM(H359:H364)</f>
        <v>52000</v>
      </c>
      <c r="I358" s="472">
        <f t="shared" si="64"/>
        <v>0</v>
      </c>
      <c r="J358" s="472">
        <f t="shared" si="64"/>
        <v>0</v>
      </c>
      <c r="K358" s="472">
        <f t="shared" si="64"/>
        <v>0</v>
      </c>
      <c r="L358" s="471">
        <f t="shared" si="64"/>
        <v>0</v>
      </c>
      <c r="M358" s="472">
        <f t="shared" si="64"/>
        <v>71000</v>
      </c>
      <c r="N358" s="472">
        <f>SUM(N359:N364)</f>
        <v>71000</v>
      </c>
      <c r="O358" s="466">
        <f t="shared" si="62"/>
        <v>71000</v>
      </c>
      <c r="P358" s="472"/>
      <c r="Q358" s="622"/>
    </row>
    <row r="359" spans="1:17" ht="16.5">
      <c r="A359" s="171"/>
      <c r="B359" s="174"/>
      <c r="C359" s="170" t="s">
        <v>951</v>
      </c>
      <c r="D359" s="490"/>
      <c r="E359" s="488">
        <f>5000+4*4000</f>
        <v>21000</v>
      </c>
      <c r="F359" s="488">
        <f t="shared" si="57"/>
        <v>21000</v>
      </c>
      <c r="G359" s="484">
        <f t="shared" si="60"/>
        <v>21000</v>
      </c>
      <c r="H359" s="488">
        <f>E359</f>
        <v>21000</v>
      </c>
      <c r="I359" s="488"/>
      <c r="J359" s="488"/>
      <c r="K359" s="488"/>
      <c r="L359" s="490"/>
      <c r="M359" s="488">
        <f>5000+4500+3*4000</f>
        <v>21500</v>
      </c>
      <c r="N359" s="488">
        <v>21500</v>
      </c>
      <c r="O359" s="470">
        <f t="shared" si="62"/>
        <v>21500</v>
      </c>
      <c r="P359" s="488"/>
      <c r="Q359" s="622"/>
    </row>
    <row r="360" spans="1:17" ht="16.5">
      <c r="A360" s="171"/>
      <c r="B360" s="174"/>
      <c r="C360" s="170" t="s">
        <v>568</v>
      </c>
      <c r="D360" s="492"/>
      <c r="E360" s="488">
        <v>3000</v>
      </c>
      <c r="F360" s="488">
        <f t="shared" si="57"/>
        <v>3000</v>
      </c>
      <c r="G360" s="484">
        <f t="shared" si="60"/>
        <v>3000</v>
      </c>
      <c r="H360" s="488">
        <f>E360</f>
        <v>3000</v>
      </c>
      <c r="I360" s="488"/>
      <c r="J360" s="488"/>
      <c r="K360" s="488"/>
      <c r="L360" s="490"/>
      <c r="M360" s="488">
        <v>3000</v>
      </c>
      <c r="N360" s="488">
        <v>3000</v>
      </c>
      <c r="O360" s="470">
        <f t="shared" si="62"/>
        <v>3000</v>
      </c>
      <c r="P360" s="488"/>
      <c r="Q360" s="622"/>
    </row>
    <row r="361" spans="1:17" ht="30">
      <c r="A361" s="171"/>
      <c r="B361" s="174"/>
      <c r="C361" s="170" t="s">
        <v>164</v>
      </c>
      <c r="D361" s="490"/>
      <c r="E361" s="488">
        <f>4*300*5</f>
        <v>6000</v>
      </c>
      <c r="F361" s="488">
        <f t="shared" si="57"/>
        <v>6000</v>
      </c>
      <c r="G361" s="484">
        <f t="shared" si="60"/>
        <v>6000</v>
      </c>
      <c r="H361" s="488">
        <f>E361</f>
        <v>6000</v>
      </c>
      <c r="I361" s="488"/>
      <c r="J361" s="488"/>
      <c r="K361" s="488"/>
      <c r="L361" s="490"/>
      <c r="M361" s="488">
        <f>5*300*5</f>
        <v>7500</v>
      </c>
      <c r="N361" s="488">
        <v>7500</v>
      </c>
      <c r="O361" s="470">
        <f t="shared" si="62"/>
        <v>7500</v>
      </c>
      <c r="P361" s="488"/>
      <c r="Q361" s="622"/>
    </row>
    <row r="362" spans="1:17" ht="16.5">
      <c r="A362" s="171"/>
      <c r="B362" s="174"/>
      <c r="C362" s="170" t="s">
        <v>365</v>
      </c>
      <c r="D362" s="490"/>
      <c r="E362" s="488">
        <v>12000</v>
      </c>
      <c r="F362" s="488">
        <f t="shared" si="57"/>
        <v>12000</v>
      </c>
      <c r="G362" s="484">
        <f t="shared" si="60"/>
        <v>12000</v>
      </c>
      <c r="H362" s="488">
        <f>E362</f>
        <v>12000</v>
      </c>
      <c r="I362" s="488"/>
      <c r="J362" s="488"/>
      <c r="K362" s="488"/>
      <c r="L362" s="490"/>
      <c r="M362" s="488">
        <v>12000</v>
      </c>
      <c r="N362" s="488">
        <v>12000</v>
      </c>
      <c r="O362" s="470">
        <f t="shared" si="62"/>
        <v>12000</v>
      </c>
      <c r="P362" s="488"/>
      <c r="Q362" s="622"/>
    </row>
    <row r="363" spans="1:17" ht="16.5">
      <c r="A363" s="173"/>
      <c r="B363" s="174"/>
      <c r="C363" s="170" t="s">
        <v>952</v>
      </c>
      <c r="D363" s="490"/>
      <c r="E363" s="488">
        <v>10000</v>
      </c>
      <c r="F363" s="488">
        <f t="shared" si="57"/>
        <v>10000</v>
      </c>
      <c r="G363" s="484">
        <f t="shared" si="60"/>
        <v>10000</v>
      </c>
      <c r="H363" s="488">
        <v>10000</v>
      </c>
      <c r="I363" s="488"/>
      <c r="J363" s="488"/>
      <c r="K363" s="488"/>
      <c r="L363" s="490"/>
      <c r="M363" s="488">
        <v>10000</v>
      </c>
      <c r="N363" s="488">
        <v>10000</v>
      </c>
      <c r="O363" s="470">
        <f t="shared" si="62"/>
        <v>10000</v>
      </c>
      <c r="P363" s="488"/>
      <c r="Q363" s="622"/>
    </row>
    <row r="364" spans="1:17" ht="16.5">
      <c r="A364" s="173"/>
      <c r="B364" s="174"/>
      <c r="C364" s="170" t="s">
        <v>953</v>
      </c>
      <c r="D364" s="490"/>
      <c r="E364" s="488"/>
      <c r="F364" s="488">
        <f t="shared" si="57"/>
        <v>0</v>
      </c>
      <c r="G364" s="484"/>
      <c r="H364" s="488"/>
      <c r="I364" s="488"/>
      <c r="J364" s="488"/>
      <c r="K364" s="488"/>
      <c r="L364" s="490"/>
      <c r="M364" s="488">
        <v>17000</v>
      </c>
      <c r="N364" s="488">
        <f>13000+3000+1000</f>
        <v>17000</v>
      </c>
      <c r="O364" s="470">
        <f t="shared" si="62"/>
        <v>17000</v>
      </c>
      <c r="P364" s="488"/>
      <c r="Q364" s="622"/>
    </row>
    <row r="365" spans="1:17" ht="16.5">
      <c r="A365" s="478">
        <v>20</v>
      </c>
      <c r="B365" s="498"/>
      <c r="C365" s="480" t="s">
        <v>291</v>
      </c>
      <c r="D365" s="471">
        <f>SUM(D366:D375)</f>
        <v>0</v>
      </c>
      <c r="E365" s="482">
        <f>SUM(E366:E370)</f>
        <v>66000</v>
      </c>
      <c r="F365" s="491">
        <f t="shared" si="57"/>
        <v>66000</v>
      </c>
      <c r="G365" s="482">
        <f t="shared" si="60"/>
        <v>66000</v>
      </c>
      <c r="H365" s="482">
        <f>SUM(H366:H370)</f>
        <v>66000</v>
      </c>
      <c r="I365" s="482">
        <f t="shared" ref="I365:L365" si="65">SUM(I366:I370)</f>
        <v>0</v>
      </c>
      <c r="J365" s="482">
        <f t="shared" si="65"/>
        <v>0</v>
      </c>
      <c r="K365" s="482">
        <f t="shared" si="65"/>
        <v>0</v>
      </c>
      <c r="L365" s="481">
        <f t="shared" si="65"/>
        <v>0</v>
      </c>
      <c r="M365" s="482">
        <f>SUM(M366:M370)</f>
        <v>51000</v>
      </c>
      <c r="N365" s="482">
        <f>SUM(N366:N370)</f>
        <v>51000</v>
      </c>
      <c r="O365" s="466">
        <f t="shared" si="62"/>
        <v>51000</v>
      </c>
      <c r="P365" s="482"/>
      <c r="Q365" s="631"/>
    </row>
    <row r="366" spans="1:17" ht="16.5">
      <c r="A366" s="173"/>
      <c r="B366" s="174"/>
      <c r="C366" s="170" t="s">
        <v>954</v>
      </c>
      <c r="D366" s="485"/>
      <c r="E366" s="488">
        <v>30000</v>
      </c>
      <c r="F366" s="488">
        <f t="shared" si="57"/>
        <v>30000</v>
      </c>
      <c r="G366" s="484">
        <f t="shared" si="60"/>
        <v>30000</v>
      </c>
      <c r="H366" s="488">
        <v>30000</v>
      </c>
      <c r="I366" s="488"/>
      <c r="J366" s="488"/>
      <c r="K366" s="488"/>
      <c r="L366" s="490"/>
      <c r="M366" s="488">
        <f>5000+2*4500+8000</f>
        <v>22000</v>
      </c>
      <c r="N366" s="488">
        <f>M366</f>
        <v>22000</v>
      </c>
      <c r="O366" s="470">
        <f t="shared" si="62"/>
        <v>22000</v>
      </c>
      <c r="P366" s="488"/>
      <c r="Q366" s="622"/>
    </row>
    <row r="367" spans="1:17" ht="16.5">
      <c r="A367" s="171"/>
      <c r="B367" s="174"/>
      <c r="C367" s="170" t="s">
        <v>257</v>
      </c>
      <c r="D367" s="485"/>
      <c r="E367" s="488">
        <v>3000</v>
      </c>
      <c r="F367" s="488">
        <f t="shared" si="57"/>
        <v>3000</v>
      </c>
      <c r="G367" s="484">
        <f t="shared" si="60"/>
        <v>3000</v>
      </c>
      <c r="H367" s="488">
        <v>3000</v>
      </c>
      <c r="I367" s="488"/>
      <c r="J367" s="488"/>
      <c r="K367" s="488"/>
      <c r="L367" s="490"/>
      <c r="M367" s="488">
        <v>3000</v>
      </c>
      <c r="N367" s="488">
        <v>3000</v>
      </c>
      <c r="O367" s="470">
        <f t="shared" si="62"/>
        <v>3000</v>
      </c>
      <c r="P367" s="488"/>
      <c r="Q367" s="622"/>
    </row>
    <row r="368" spans="1:17" ht="30">
      <c r="A368" s="171"/>
      <c r="B368" s="174"/>
      <c r="C368" s="170" t="s">
        <v>520</v>
      </c>
      <c r="D368" s="471"/>
      <c r="E368" s="488">
        <v>9000</v>
      </c>
      <c r="F368" s="488">
        <f t="shared" si="57"/>
        <v>9000</v>
      </c>
      <c r="G368" s="484">
        <f t="shared" si="60"/>
        <v>9000</v>
      </c>
      <c r="H368" s="488">
        <v>9000</v>
      </c>
      <c r="I368" s="488"/>
      <c r="J368" s="488"/>
      <c r="K368" s="488"/>
      <c r="L368" s="490"/>
      <c r="M368" s="488">
        <f>4*300*5</f>
        <v>6000</v>
      </c>
      <c r="N368" s="488">
        <f>4*300*5</f>
        <v>6000</v>
      </c>
      <c r="O368" s="470">
        <f t="shared" si="62"/>
        <v>6000</v>
      </c>
      <c r="P368" s="488"/>
      <c r="Q368" s="622"/>
    </row>
    <row r="369" spans="1:17" ht="16.5">
      <c r="A369" s="171"/>
      <c r="B369" s="174"/>
      <c r="C369" s="170" t="s">
        <v>955</v>
      </c>
      <c r="D369" s="490"/>
      <c r="E369" s="488">
        <v>12000</v>
      </c>
      <c r="F369" s="488">
        <f t="shared" si="57"/>
        <v>12000</v>
      </c>
      <c r="G369" s="484">
        <f t="shared" si="60"/>
        <v>12000</v>
      </c>
      <c r="H369" s="488">
        <v>12000</v>
      </c>
      <c r="I369" s="488"/>
      <c r="J369" s="488"/>
      <c r="K369" s="488"/>
      <c r="L369" s="490"/>
      <c r="M369" s="488">
        <v>8000</v>
      </c>
      <c r="N369" s="488">
        <v>8000</v>
      </c>
      <c r="O369" s="470">
        <f t="shared" si="62"/>
        <v>8000</v>
      </c>
      <c r="P369" s="488"/>
      <c r="Q369" s="622"/>
    </row>
    <row r="370" spans="1:17" ht="16.5">
      <c r="A370" s="171"/>
      <c r="B370" s="174"/>
      <c r="C370" s="170" t="s">
        <v>366</v>
      </c>
      <c r="D370" s="490"/>
      <c r="E370" s="488">
        <v>12000</v>
      </c>
      <c r="F370" s="488">
        <f t="shared" si="57"/>
        <v>12000</v>
      </c>
      <c r="G370" s="484">
        <f t="shared" si="60"/>
        <v>12000</v>
      </c>
      <c r="H370" s="488">
        <v>12000</v>
      </c>
      <c r="I370" s="488"/>
      <c r="J370" s="488"/>
      <c r="K370" s="488"/>
      <c r="L370" s="490"/>
      <c r="M370" s="488">
        <v>12000</v>
      </c>
      <c r="N370" s="488">
        <v>12000</v>
      </c>
      <c r="O370" s="470">
        <f t="shared" si="62"/>
        <v>12000</v>
      </c>
      <c r="P370" s="488"/>
      <c r="Q370" s="622"/>
    </row>
    <row r="371" spans="1:17" ht="16.5">
      <c r="A371" s="478">
        <v>21</v>
      </c>
      <c r="B371" s="479"/>
      <c r="C371" s="480" t="s">
        <v>456</v>
      </c>
      <c r="D371" s="499"/>
      <c r="E371" s="532">
        <v>1000000</v>
      </c>
      <c r="F371" s="491">
        <f t="shared" si="57"/>
        <v>1000000</v>
      </c>
      <c r="G371" s="482">
        <f t="shared" si="60"/>
        <v>1000000</v>
      </c>
      <c r="H371" s="532">
        <v>800000</v>
      </c>
      <c r="I371" s="532">
        <v>200000</v>
      </c>
      <c r="J371" s="532"/>
      <c r="K371" s="532"/>
      <c r="L371" s="531"/>
      <c r="M371" s="532">
        <v>1000000</v>
      </c>
      <c r="N371" s="532">
        <v>1000000</v>
      </c>
      <c r="O371" s="466">
        <f t="shared" si="62"/>
        <v>1000000</v>
      </c>
      <c r="P371" s="532"/>
      <c r="Q371" s="631"/>
    </row>
    <row r="372" spans="1:17" ht="16.5">
      <c r="A372" s="478">
        <v>22</v>
      </c>
      <c r="B372" s="479"/>
      <c r="C372" s="480" t="s">
        <v>261</v>
      </c>
      <c r="D372" s="499"/>
      <c r="E372" s="532">
        <v>40000</v>
      </c>
      <c r="F372" s="491">
        <f t="shared" si="57"/>
        <v>40000</v>
      </c>
      <c r="G372" s="482">
        <f t="shared" si="60"/>
        <v>40000</v>
      </c>
      <c r="H372" s="532">
        <v>30000</v>
      </c>
      <c r="I372" s="532">
        <v>10000</v>
      </c>
      <c r="J372" s="532"/>
      <c r="K372" s="532"/>
      <c r="L372" s="531"/>
      <c r="M372" s="532">
        <v>40000</v>
      </c>
      <c r="N372" s="532">
        <v>40000</v>
      </c>
      <c r="O372" s="466">
        <f t="shared" si="62"/>
        <v>40000</v>
      </c>
      <c r="P372" s="532"/>
      <c r="Q372" s="631"/>
    </row>
    <row r="373" spans="1:17" ht="81" customHeight="1">
      <c r="A373" s="171">
        <v>23</v>
      </c>
      <c r="B373" s="174"/>
      <c r="C373" s="169" t="s">
        <v>956</v>
      </c>
      <c r="D373" s="490"/>
      <c r="E373" s="491">
        <v>207762</v>
      </c>
      <c r="F373" s="491">
        <f t="shared" si="57"/>
        <v>100000</v>
      </c>
      <c r="G373" s="472">
        <f t="shared" si="60"/>
        <v>100000</v>
      </c>
      <c r="H373" s="491">
        <v>50000</v>
      </c>
      <c r="I373" s="491">
        <v>50000</v>
      </c>
      <c r="J373" s="491"/>
      <c r="K373" s="491"/>
      <c r="L373" s="492"/>
      <c r="M373" s="491">
        <v>207762</v>
      </c>
      <c r="N373" s="491">
        <v>100000</v>
      </c>
      <c r="O373" s="466">
        <f t="shared" si="62"/>
        <v>100000</v>
      </c>
      <c r="P373" s="491"/>
      <c r="Q373" s="357"/>
    </row>
    <row r="374" spans="1:17" ht="16.5">
      <c r="A374" s="478">
        <v>24</v>
      </c>
      <c r="B374" s="479"/>
      <c r="C374" s="480" t="s">
        <v>737</v>
      </c>
      <c r="D374" s="490"/>
      <c r="E374" s="491">
        <f>SUM(E375:E380)</f>
        <v>79400</v>
      </c>
      <c r="F374" s="491">
        <f t="shared" si="57"/>
        <v>54100</v>
      </c>
      <c r="G374" s="472">
        <f t="shared" si="60"/>
        <v>54100</v>
      </c>
      <c r="H374" s="491">
        <f>SUM(H375:H380)</f>
        <v>54100</v>
      </c>
      <c r="I374" s="491">
        <f>SUM(I375:I380)</f>
        <v>0</v>
      </c>
      <c r="J374" s="491">
        <f>SUM(J375:J380)</f>
        <v>0</v>
      </c>
      <c r="K374" s="491">
        <f>SUM(K375:K380)</f>
        <v>0</v>
      </c>
      <c r="L374" s="492">
        <f>SUM(L375:L380)</f>
        <v>0</v>
      </c>
      <c r="M374" s="491">
        <f>SUM(M375:M387)</f>
        <v>230400</v>
      </c>
      <c r="N374" s="491">
        <f>SUM(N375:N387)</f>
        <v>104000</v>
      </c>
      <c r="O374" s="466">
        <f t="shared" si="62"/>
        <v>104000</v>
      </c>
      <c r="P374" s="491"/>
      <c r="Q374" s="643"/>
    </row>
    <row r="375" spans="1:17" ht="16.5">
      <c r="A375" s="171"/>
      <c r="B375" s="174"/>
      <c r="C375" s="170" t="s">
        <v>738</v>
      </c>
      <c r="D375" s="490"/>
      <c r="E375" s="488">
        <v>3000</v>
      </c>
      <c r="F375" s="488">
        <f t="shared" ref="F375:F387" si="66">G375+J375</f>
        <v>3000</v>
      </c>
      <c r="G375" s="484">
        <f t="shared" si="60"/>
        <v>3000</v>
      </c>
      <c r="H375" s="488">
        <v>3000</v>
      </c>
      <c r="I375" s="488"/>
      <c r="J375" s="488"/>
      <c r="K375" s="488"/>
      <c r="L375" s="490"/>
      <c r="M375" s="488">
        <v>6000</v>
      </c>
      <c r="N375" s="488">
        <v>3000</v>
      </c>
      <c r="O375" s="470">
        <f t="shared" si="62"/>
        <v>3000</v>
      </c>
      <c r="P375" s="488"/>
      <c r="Q375" s="357"/>
    </row>
    <row r="376" spans="1:17" ht="20.25" customHeight="1">
      <c r="A376" s="171"/>
      <c r="B376" s="174"/>
      <c r="C376" s="170" t="s">
        <v>957</v>
      </c>
      <c r="D376" s="490"/>
      <c r="E376" s="488">
        <f>7*500*12</f>
        <v>42000</v>
      </c>
      <c r="F376" s="488">
        <f t="shared" si="66"/>
        <v>36000</v>
      </c>
      <c r="G376" s="484">
        <f t="shared" si="60"/>
        <v>36000</v>
      </c>
      <c r="H376" s="488">
        <f>6*500*12</f>
        <v>36000</v>
      </c>
      <c r="I376" s="488"/>
      <c r="J376" s="488"/>
      <c r="K376" s="488"/>
      <c r="L376" s="490"/>
      <c r="M376" s="488">
        <f>8*1000*12</f>
        <v>96000</v>
      </c>
      <c r="N376" s="488">
        <f>8*500*12</f>
        <v>48000</v>
      </c>
      <c r="O376" s="470">
        <f t="shared" si="62"/>
        <v>48000</v>
      </c>
      <c r="P376" s="488"/>
      <c r="Q376" s="357" t="s">
        <v>958</v>
      </c>
    </row>
    <row r="377" spans="1:17" ht="19.5" customHeight="1">
      <c r="A377" s="171"/>
      <c r="B377" s="174"/>
      <c r="C377" s="170" t="s">
        <v>959</v>
      </c>
      <c r="D377" s="490"/>
      <c r="E377" s="488">
        <v>14000</v>
      </c>
      <c r="F377" s="488">
        <f t="shared" si="66"/>
        <v>0</v>
      </c>
      <c r="G377" s="484">
        <f t="shared" si="60"/>
        <v>0</v>
      </c>
      <c r="H377" s="488"/>
      <c r="I377" s="488"/>
      <c r="J377" s="488"/>
      <c r="K377" s="488"/>
      <c r="L377" s="490"/>
      <c r="M377" s="488">
        <v>16000</v>
      </c>
      <c r="N377" s="488">
        <f>8000</f>
        <v>8000</v>
      </c>
      <c r="O377" s="470">
        <f t="shared" si="62"/>
        <v>8000</v>
      </c>
      <c r="P377" s="488"/>
      <c r="Q377" s="357" t="s">
        <v>960</v>
      </c>
    </row>
    <row r="378" spans="1:17" ht="28.5" customHeight="1">
      <c r="A378" s="171"/>
      <c r="B378" s="174"/>
      <c r="C378" s="170" t="s">
        <v>739</v>
      </c>
      <c r="D378" s="490"/>
      <c r="E378" s="488">
        <f>300*12</f>
        <v>3600</v>
      </c>
      <c r="F378" s="488">
        <f t="shared" si="66"/>
        <v>3600</v>
      </c>
      <c r="G378" s="484">
        <f t="shared" si="60"/>
        <v>3600</v>
      </c>
      <c r="H378" s="488">
        <v>3600</v>
      </c>
      <c r="I378" s="488"/>
      <c r="J378" s="488"/>
      <c r="K378" s="488"/>
      <c r="L378" s="490"/>
      <c r="M378" s="488">
        <v>3600</v>
      </c>
      <c r="N378" s="488"/>
      <c r="O378" s="470">
        <f t="shared" si="62"/>
        <v>0</v>
      </c>
      <c r="P378" s="488"/>
      <c r="Q378" s="357" t="s">
        <v>961</v>
      </c>
    </row>
    <row r="379" spans="1:17" ht="30.75" customHeight="1">
      <c r="A379" s="171"/>
      <c r="B379" s="174"/>
      <c r="C379" s="170" t="s">
        <v>740</v>
      </c>
      <c r="D379" s="490"/>
      <c r="E379" s="488">
        <f>150*12</f>
        <v>1800</v>
      </c>
      <c r="F379" s="488">
        <f t="shared" si="66"/>
        <v>1500</v>
      </c>
      <c r="G379" s="484">
        <f t="shared" si="60"/>
        <v>1500</v>
      </c>
      <c r="H379" s="488">
        <v>1500</v>
      </c>
      <c r="I379" s="488"/>
      <c r="J379" s="488"/>
      <c r="K379" s="488"/>
      <c r="L379" s="490"/>
      <c r="M379" s="488">
        <f>150*12</f>
        <v>1800</v>
      </c>
      <c r="N379" s="488"/>
      <c r="O379" s="470">
        <f t="shared" si="62"/>
        <v>0</v>
      </c>
      <c r="P379" s="488"/>
      <c r="Q379" s="357" t="s">
        <v>961</v>
      </c>
    </row>
    <row r="380" spans="1:17" ht="30">
      <c r="A380" s="171"/>
      <c r="B380" s="174"/>
      <c r="C380" s="170" t="s">
        <v>47</v>
      </c>
      <c r="D380" s="490"/>
      <c r="E380" s="488">
        <v>15000</v>
      </c>
      <c r="F380" s="488">
        <f t="shared" si="66"/>
        <v>10000</v>
      </c>
      <c r="G380" s="484">
        <f t="shared" si="60"/>
        <v>10000</v>
      </c>
      <c r="H380" s="488">
        <v>10000</v>
      </c>
      <c r="I380" s="488"/>
      <c r="J380" s="488"/>
      <c r="K380" s="488"/>
      <c r="L380" s="490"/>
      <c r="M380" s="488">
        <v>15000</v>
      </c>
      <c r="N380" s="488">
        <v>10000</v>
      </c>
      <c r="O380" s="470">
        <f t="shared" si="62"/>
        <v>10000</v>
      </c>
      <c r="P380" s="488"/>
      <c r="Q380" s="357"/>
    </row>
    <row r="381" spans="1:17" ht="30">
      <c r="A381" s="171"/>
      <c r="B381" s="174"/>
      <c r="C381" s="170" t="s">
        <v>962</v>
      </c>
      <c r="D381" s="490"/>
      <c r="E381" s="488"/>
      <c r="F381" s="488">
        <f t="shared" si="66"/>
        <v>0</v>
      </c>
      <c r="G381" s="484"/>
      <c r="H381" s="488"/>
      <c r="I381" s="488"/>
      <c r="J381" s="488"/>
      <c r="K381" s="488"/>
      <c r="L381" s="490"/>
      <c r="M381" s="488">
        <v>10000</v>
      </c>
      <c r="N381" s="488"/>
      <c r="O381" s="470">
        <f t="shared" si="62"/>
        <v>0</v>
      </c>
      <c r="P381" s="488"/>
      <c r="Q381" s="357" t="s">
        <v>961</v>
      </c>
    </row>
    <row r="382" spans="1:17" ht="16.5">
      <c r="A382" s="171"/>
      <c r="B382" s="174"/>
      <c r="C382" s="170" t="s">
        <v>963</v>
      </c>
      <c r="D382" s="490"/>
      <c r="E382" s="488"/>
      <c r="F382" s="488">
        <f t="shared" si="66"/>
        <v>0</v>
      </c>
      <c r="G382" s="484"/>
      <c r="H382" s="488"/>
      <c r="I382" s="488"/>
      <c r="J382" s="488"/>
      <c r="K382" s="488"/>
      <c r="L382" s="490"/>
      <c r="M382" s="488">
        <v>25000</v>
      </c>
      <c r="N382" s="488">
        <v>15000</v>
      </c>
      <c r="O382" s="470">
        <f t="shared" si="62"/>
        <v>15000</v>
      </c>
      <c r="P382" s="488"/>
      <c r="Q382" s="357"/>
    </row>
    <row r="383" spans="1:17" ht="25.5">
      <c r="A383" s="171"/>
      <c r="B383" s="174"/>
      <c r="C383" s="170" t="s">
        <v>964</v>
      </c>
      <c r="D383" s="490"/>
      <c r="E383" s="488"/>
      <c r="F383" s="488">
        <f t="shared" si="66"/>
        <v>0</v>
      </c>
      <c r="G383" s="484"/>
      <c r="H383" s="488"/>
      <c r="I383" s="488"/>
      <c r="J383" s="488"/>
      <c r="K383" s="488"/>
      <c r="L383" s="490"/>
      <c r="M383" s="488">
        <v>10000</v>
      </c>
      <c r="N383" s="488"/>
      <c r="O383" s="470">
        <f t="shared" si="62"/>
        <v>0</v>
      </c>
      <c r="P383" s="488"/>
      <c r="Q383" s="357" t="s">
        <v>961</v>
      </c>
    </row>
    <row r="384" spans="1:17" ht="16.5">
      <c r="A384" s="171"/>
      <c r="B384" s="174"/>
      <c r="C384" s="170" t="s">
        <v>965</v>
      </c>
      <c r="D384" s="490"/>
      <c r="E384" s="488"/>
      <c r="F384" s="488">
        <f t="shared" si="66"/>
        <v>0</v>
      </c>
      <c r="G384" s="484"/>
      <c r="H384" s="488"/>
      <c r="I384" s="488"/>
      <c r="J384" s="488"/>
      <c r="K384" s="488"/>
      <c r="L384" s="490"/>
      <c r="M384" s="488">
        <v>15000</v>
      </c>
      <c r="N384" s="488">
        <v>10000</v>
      </c>
      <c r="O384" s="470">
        <f t="shared" si="62"/>
        <v>10000</v>
      </c>
      <c r="P384" s="488"/>
      <c r="Q384" s="357"/>
    </row>
    <row r="385" spans="1:18" ht="29.25" customHeight="1">
      <c r="A385" s="171"/>
      <c r="B385" s="174"/>
      <c r="C385" s="170" t="s">
        <v>966</v>
      </c>
      <c r="D385" s="490"/>
      <c r="E385" s="488"/>
      <c r="F385" s="488">
        <f t="shared" si="66"/>
        <v>0</v>
      </c>
      <c r="G385" s="484"/>
      <c r="H385" s="488"/>
      <c r="I385" s="488"/>
      <c r="J385" s="488"/>
      <c r="K385" s="488"/>
      <c r="L385" s="490"/>
      <c r="M385" s="488">
        <v>7000</v>
      </c>
      <c r="N385" s="488"/>
      <c r="O385" s="470">
        <f t="shared" si="62"/>
        <v>0</v>
      </c>
      <c r="P385" s="488"/>
      <c r="Q385" s="357" t="s">
        <v>967</v>
      </c>
    </row>
    <row r="386" spans="1:18" ht="30">
      <c r="A386" s="171"/>
      <c r="B386" s="174"/>
      <c r="C386" s="170" t="s">
        <v>968</v>
      </c>
      <c r="D386" s="490"/>
      <c r="E386" s="488"/>
      <c r="F386" s="488">
        <f t="shared" si="66"/>
        <v>0</v>
      </c>
      <c r="G386" s="484"/>
      <c r="H386" s="488"/>
      <c r="I386" s="488"/>
      <c r="J386" s="488"/>
      <c r="K386" s="488"/>
      <c r="L386" s="490"/>
      <c r="M386" s="488">
        <v>15000</v>
      </c>
      <c r="N386" s="488">
        <v>10000</v>
      </c>
      <c r="O386" s="470">
        <f t="shared" si="62"/>
        <v>10000</v>
      </c>
      <c r="P386" s="488"/>
      <c r="Q386" s="357"/>
    </row>
    <row r="387" spans="1:18" ht="30">
      <c r="A387" s="171"/>
      <c r="B387" s="174"/>
      <c r="C387" s="170" t="s">
        <v>969</v>
      </c>
      <c r="D387" s="490"/>
      <c r="E387" s="488"/>
      <c r="F387" s="488">
        <f t="shared" si="66"/>
        <v>0</v>
      </c>
      <c r="G387" s="484"/>
      <c r="H387" s="488"/>
      <c r="I387" s="488"/>
      <c r="J387" s="488"/>
      <c r="K387" s="488"/>
      <c r="L387" s="490"/>
      <c r="M387" s="488">
        <v>10000</v>
      </c>
      <c r="N387" s="488"/>
      <c r="O387" s="470">
        <f t="shared" si="62"/>
        <v>0</v>
      </c>
      <c r="P387" s="488"/>
      <c r="Q387" s="357" t="s">
        <v>961</v>
      </c>
    </row>
    <row r="388" spans="1:18" ht="16.5">
      <c r="A388" s="159" t="s">
        <v>85</v>
      </c>
      <c r="B388" s="161"/>
      <c r="C388" s="169" t="s">
        <v>457</v>
      </c>
      <c r="D388" s="471">
        <f>(D389+D392+D413+D421+D436+D460+D479+D497+D498+D410+D499+D411+D412)</f>
        <v>0</v>
      </c>
      <c r="E388" s="472" t="e">
        <f>(E389+E392+E413+E421+E436+E460+E479+E497+E498+E410+E411+E412)</f>
        <v>#REF!</v>
      </c>
      <c r="F388" s="472">
        <f>F389+F392+F410+F411+F412+F413+F421+F436+F460+F479+F497+F498</f>
        <v>8882308.2521000002</v>
      </c>
      <c r="G388" s="472">
        <f>G389+G392+G410+G411+G412+G413+G421+G436+G460+G479+G497+G498</f>
        <v>8753328.2521000002</v>
      </c>
      <c r="H388" s="472">
        <f>(H389+H392+H413+H421+H436+H460+H479+H497+H498+H410+H411+H412)</f>
        <v>7563328.2521000002</v>
      </c>
      <c r="I388" s="472">
        <f>(I389+I392+I413+I421+I436+I460+I479+I497+I498+I410+I411+I412)</f>
        <v>1190000</v>
      </c>
      <c r="J388" s="472">
        <f>(J389+J392+J413+J421+J436+J460+J479+J497+J498+J410+J411+J412)</f>
        <v>128980</v>
      </c>
      <c r="K388" s="472"/>
      <c r="L388" s="471"/>
      <c r="M388" s="472">
        <f>(M389+M392+M413+M421+M436+M460+M479+M497+M498+M410+M411+M412)</f>
        <v>24582009.008800004</v>
      </c>
      <c r="N388" s="472">
        <f>(N389+N392+N413+N421+N436+N460+N479+N497+N498+N410+N411+N412)</f>
        <v>24098009.008800004</v>
      </c>
      <c r="O388" s="472">
        <f>(O389+O392+O413+O421+O436+O460+O479+O497+O498+O410+O411+O412)</f>
        <v>24098009.008800004</v>
      </c>
      <c r="P388" s="472">
        <f>(P389+P392+P413+P421+P436+P460+P479+P497+P498+P410+P411+P412)</f>
        <v>0</v>
      </c>
      <c r="Q388" s="644"/>
      <c r="R388" s="119">
        <f>G388-H388-I388</f>
        <v>0</v>
      </c>
    </row>
    <row r="389" spans="1:18" ht="33.75" customHeight="1">
      <c r="A389" s="171">
        <v>1</v>
      </c>
      <c r="B389" s="174"/>
      <c r="C389" s="169" t="s">
        <v>453</v>
      </c>
      <c r="D389" s="490"/>
      <c r="E389" s="491">
        <f>SUM(E390:E391)</f>
        <v>2500000</v>
      </c>
      <c r="F389" s="491">
        <f>SUM(F390:F391)</f>
        <v>1500000</v>
      </c>
      <c r="G389" s="472">
        <f>H389+I389</f>
        <v>1500000</v>
      </c>
      <c r="H389" s="491">
        <f t="shared" ref="H389:O389" si="67">SUM(H390:H391)</f>
        <v>1000000</v>
      </c>
      <c r="I389" s="491">
        <f t="shared" si="67"/>
        <v>500000</v>
      </c>
      <c r="J389" s="491">
        <f t="shared" si="67"/>
        <v>0</v>
      </c>
      <c r="K389" s="491">
        <f t="shared" si="67"/>
        <v>0</v>
      </c>
      <c r="L389" s="492">
        <f t="shared" si="67"/>
        <v>0</v>
      </c>
      <c r="M389" s="491">
        <f t="shared" si="67"/>
        <v>16100000</v>
      </c>
      <c r="N389" s="491">
        <f t="shared" si="67"/>
        <v>16100000</v>
      </c>
      <c r="O389" s="491">
        <f t="shared" si="67"/>
        <v>16100000</v>
      </c>
      <c r="P389" s="491"/>
      <c r="Q389" s="357"/>
      <c r="R389" s="116">
        <v>500000</v>
      </c>
    </row>
    <row r="390" spans="1:18" ht="33.75" customHeight="1">
      <c r="A390" s="171"/>
      <c r="B390" s="174"/>
      <c r="C390" s="170" t="s">
        <v>1190</v>
      </c>
      <c r="D390" s="490"/>
      <c r="E390" s="488">
        <v>2500000</v>
      </c>
      <c r="F390" s="488">
        <f>G390+J390</f>
        <v>1500000</v>
      </c>
      <c r="G390" s="484">
        <f>H390+I390</f>
        <v>1500000</v>
      </c>
      <c r="H390" s="488">
        <v>1000000</v>
      </c>
      <c r="I390" s="488">
        <v>500000</v>
      </c>
      <c r="J390" s="488"/>
      <c r="K390" s="488"/>
      <c r="L390" s="490"/>
      <c r="M390" s="488">
        <v>11100000</v>
      </c>
      <c r="N390" s="488">
        <f>10500000+600000</f>
        <v>11100000</v>
      </c>
      <c r="O390" s="470">
        <f>N390</f>
        <v>11100000</v>
      </c>
      <c r="P390" s="488"/>
      <c r="Q390" s="622"/>
      <c r="R390" s="116">
        <f>P389+O389</f>
        <v>16100000</v>
      </c>
    </row>
    <row r="391" spans="1:18" ht="33.75" customHeight="1">
      <c r="A391" s="171"/>
      <c r="B391" s="174"/>
      <c r="C391" s="170" t="s">
        <v>1191</v>
      </c>
      <c r="D391" s="490"/>
      <c r="E391" s="488"/>
      <c r="F391" s="488"/>
      <c r="G391" s="484"/>
      <c r="H391" s="488"/>
      <c r="I391" s="488"/>
      <c r="J391" s="488"/>
      <c r="K391" s="488"/>
      <c r="L391" s="490"/>
      <c r="M391" s="488">
        <v>5000000</v>
      </c>
      <c r="N391" s="488">
        <v>5000000</v>
      </c>
      <c r="O391" s="470">
        <f>N391</f>
        <v>5000000</v>
      </c>
      <c r="P391" s="488"/>
      <c r="Q391" s="622"/>
    </row>
    <row r="392" spans="1:18" ht="16.5">
      <c r="A392" s="478">
        <v>2</v>
      </c>
      <c r="B392" s="498"/>
      <c r="C392" s="480" t="s">
        <v>148</v>
      </c>
      <c r="D392" s="499"/>
      <c r="E392" s="472">
        <f>E393+E397+E401+E405</f>
        <v>310000</v>
      </c>
      <c r="F392" s="491">
        <f t="shared" ref="F392:F437" si="68">G392+J392</f>
        <v>160000</v>
      </c>
      <c r="G392" s="472">
        <f>H392+I392</f>
        <v>160000</v>
      </c>
      <c r="H392" s="472">
        <f t="shared" ref="H392:N392" si="69">H393+H397+H401+H405</f>
        <v>110000</v>
      </c>
      <c r="I392" s="472">
        <f t="shared" si="69"/>
        <v>50000</v>
      </c>
      <c r="J392" s="472">
        <f t="shared" si="69"/>
        <v>0</v>
      </c>
      <c r="K392" s="472">
        <f t="shared" si="69"/>
        <v>0</v>
      </c>
      <c r="L392" s="471">
        <f t="shared" si="69"/>
        <v>0</v>
      </c>
      <c r="M392" s="472">
        <f t="shared" si="69"/>
        <v>333000</v>
      </c>
      <c r="N392" s="472">
        <f t="shared" si="69"/>
        <v>220000</v>
      </c>
      <c r="O392" s="466">
        <f t="shared" si="62"/>
        <v>220000</v>
      </c>
      <c r="P392" s="472"/>
      <c r="Q392" s="622"/>
    </row>
    <row r="393" spans="1:18" ht="16.5">
      <c r="A393" s="171" t="s">
        <v>454</v>
      </c>
      <c r="B393" s="172"/>
      <c r="C393" s="169" t="s">
        <v>149</v>
      </c>
      <c r="D393" s="490"/>
      <c r="E393" s="472">
        <f>SUM(E394:E396)</f>
        <v>80000</v>
      </c>
      <c r="F393" s="488">
        <f t="shared" si="68"/>
        <v>30000</v>
      </c>
      <c r="G393" s="472">
        <f t="shared" ref="G393:G446" si="70">H393+I393</f>
        <v>30000</v>
      </c>
      <c r="H393" s="472">
        <f>SUM(H394:H395)</f>
        <v>20000</v>
      </c>
      <c r="I393" s="472">
        <f>SUM(I394:I395)</f>
        <v>10000</v>
      </c>
      <c r="J393" s="472">
        <f>SUM(J394:J395)</f>
        <v>0</v>
      </c>
      <c r="K393" s="472">
        <f>SUM(K394:K395)</f>
        <v>0</v>
      </c>
      <c r="L393" s="471">
        <f>SUM(L394:L395)</f>
        <v>0</v>
      </c>
      <c r="M393" s="472">
        <f>SUM(M394:M396)</f>
        <v>75000</v>
      </c>
      <c r="N393" s="472">
        <f>SUM(N394:N396)</f>
        <v>40000</v>
      </c>
      <c r="O393" s="466">
        <f t="shared" si="62"/>
        <v>40000</v>
      </c>
      <c r="P393" s="472"/>
      <c r="Q393" s="622"/>
    </row>
    <row r="394" spans="1:18" ht="30">
      <c r="A394" s="171"/>
      <c r="B394" s="172"/>
      <c r="C394" s="170" t="s">
        <v>970</v>
      </c>
      <c r="D394" s="490"/>
      <c r="E394" s="488">
        <v>20000</v>
      </c>
      <c r="F394" s="488">
        <f t="shared" si="68"/>
        <v>10000</v>
      </c>
      <c r="G394" s="484">
        <f t="shared" si="70"/>
        <v>10000</v>
      </c>
      <c r="H394" s="488">
        <v>10000</v>
      </c>
      <c r="I394" s="488"/>
      <c r="J394" s="484"/>
      <c r="K394" s="484"/>
      <c r="L394" s="485"/>
      <c r="M394" s="484">
        <v>20000</v>
      </c>
      <c r="N394" s="484">
        <v>10000</v>
      </c>
      <c r="O394" s="470">
        <f t="shared" si="62"/>
        <v>10000</v>
      </c>
      <c r="P394" s="484"/>
      <c r="Q394" s="622"/>
    </row>
    <row r="395" spans="1:18" ht="105">
      <c r="A395" s="173"/>
      <c r="B395" s="174"/>
      <c r="C395" s="170" t="s">
        <v>971</v>
      </c>
      <c r="D395" s="490"/>
      <c r="E395" s="488">
        <v>40000</v>
      </c>
      <c r="F395" s="488">
        <f t="shared" si="68"/>
        <v>20000</v>
      </c>
      <c r="G395" s="484">
        <f t="shared" si="70"/>
        <v>20000</v>
      </c>
      <c r="H395" s="488">
        <v>10000</v>
      </c>
      <c r="I395" s="488">
        <v>10000</v>
      </c>
      <c r="J395" s="484"/>
      <c r="K395" s="484"/>
      <c r="L395" s="485"/>
      <c r="M395" s="484">
        <v>35000</v>
      </c>
      <c r="N395" s="484">
        <v>20000</v>
      </c>
      <c r="O395" s="470">
        <f t="shared" si="62"/>
        <v>20000</v>
      </c>
      <c r="P395" s="484"/>
      <c r="Q395" s="622"/>
    </row>
    <row r="396" spans="1:18" ht="60">
      <c r="A396" s="173"/>
      <c r="B396" s="174"/>
      <c r="C396" s="170" t="s">
        <v>972</v>
      </c>
      <c r="D396" s="490"/>
      <c r="E396" s="488">
        <v>20000</v>
      </c>
      <c r="F396" s="488">
        <f t="shared" si="68"/>
        <v>0</v>
      </c>
      <c r="G396" s="484"/>
      <c r="H396" s="488"/>
      <c r="I396" s="488"/>
      <c r="J396" s="484"/>
      <c r="K396" s="484"/>
      <c r="L396" s="485"/>
      <c r="M396" s="484">
        <v>20000</v>
      </c>
      <c r="N396" s="484">
        <v>10000</v>
      </c>
      <c r="O396" s="470">
        <f t="shared" si="62"/>
        <v>10000</v>
      </c>
      <c r="P396" s="484"/>
      <c r="Q396" s="622"/>
    </row>
    <row r="397" spans="1:18" ht="16.5">
      <c r="A397" s="171" t="s">
        <v>603</v>
      </c>
      <c r="B397" s="174"/>
      <c r="C397" s="169" t="s">
        <v>150</v>
      </c>
      <c r="D397" s="471">
        <f>SUM(D398:D400)</f>
        <v>0</v>
      </c>
      <c r="E397" s="472">
        <f>SUM(E398:E400)</f>
        <v>70000</v>
      </c>
      <c r="F397" s="488">
        <f t="shared" si="68"/>
        <v>40000</v>
      </c>
      <c r="G397" s="472">
        <f t="shared" si="70"/>
        <v>40000</v>
      </c>
      <c r="H397" s="472">
        <f t="shared" ref="H397:M397" si="71">SUM(H398:H400)</f>
        <v>20000</v>
      </c>
      <c r="I397" s="472">
        <f t="shared" si="71"/>
        <v>20000</v>
      </c>
      <c r="J397" s="472">
        <f t="shared" si="71"/>
        <v>0</v>
      </c>
      <c r="K397" s="472">
        <f t="shared" si="71"/>
        <v>0</v>
      </c>
      <c r="L397" s="471">
        <f t="shared" si="71"/>
        <v>0</v>
      </c>
      <c r="M397" s="472">
        <f t="shared" si="71"/>
        <v>100000</v>
      </c>
      <c r="N397" s="472">
        <f>SUM(N398:N400)</f>
        <v>50000</v>
      </c>
      <c r="O397" s="466">
        <f t="shared" ref="O397:O449" si="72">N397</f>
        <v>50000</v>
      </c>
      <c r="P397" s="472"/>
      <c r="Q397" s="622"/>
    </row>
    <row r="398" spans="1:18" ht="16.5">
      <c r="A398" s="171"/>
      <c r="B398" s="172"/>
      <c r="C398" s="170" t="s">
        <v>973</v>
      </c>
      <c r="D398" s="490"/>
      <c r="E398" s="488">
        <v>40000</v>
      </c>
      <c r="F398" s="488">
        <f t="shared" si="68"/>
        <v>20000</v>
      </c>
      <c r="G398" s="484">
        <f t="shared" si="70"/>
        <v>20000</v>
      </c>
      <c r="H398" s="488">
        <v>10000</v>
      </c>
      <c r="I398" s="488">
        <v>10000</v>
      </c>
      <c r="J398" s="484"/>
      <c r="K398" s="484"/>
      <c r="L398" s="485"/>
      <c r="M398" s="484">
        <v>40000</v>
      </c>
      <c r="N398" s="484">
        <v>20000</v>
      </c>
      <c r="O398" s="470">
        <f t="shared" si="72"/>
        <v>20000</v>
      </c>
      <c r="P398" s="484"/>
      <c r="Q398" s="622"/>
    </row>
    <row r="399" spans="1:18" ht="30">
      <c r="A399" s="171"/>
      <c r="B399" s="172"/>
      <c r="C399" s="170" t="s">
        <v>974</v>
      </c>
      <c r="D399" s="490"/>
      <c r="E399" s="488">
        <v>30000</v>
      </c>
      <c r="F399" s="488">
        <f t="shared" si="68"/>
        <v>20000</v>
      </c>
      <c r="G399" s="484">
        <f t="shared" si="70"/>
        <v>20000</v>
      </c>
      <c r="H399" s="488">
        <v>10000</v>
      </c>
      <c r="I399" s="488">
        <v>10000</v>
      </c>
      <c r="J399" s="484"/>
      <c r="K399" s="484"/>
      <c r="L399" s="485"/>
      <c r="M399" s="484">
        <v>30000</v>
      </c>
      <c r="N399" s="484">
        <v>20000</v>
      </c>
      <c r="O399" s="470">
        <f t="shared" si="72"/>
        <v>20000</v>
      </c>
      <c r="P399" s="484"/>
      <c r="Q399" s="622"/>
    </row>
    <row r="400" spans="1:18" ht="30">
      <c r="A400" s="171"/>
      <c r="B400" s="172"/>
      <c r="C400" s="170" t="s">
        <v>975</v>
      </c>
      <c r="D400" s="490"/>
      <c r="E400" s="488"/>
      <c r="F400" s="488">
        <f t="shared" si="68"/>
        <v>0</v>
      </c>
      <c r="G400" s="484">
        <f t="shared" si="70"/>
        <v>0</v>
      </c>
      <c r="H400" s="488"/>
      <c r="I400" s="488"/>
      <c r="J400" s="488"/>
      <c r="K400" s="488"/>
      <c r="L400" s="490"/>
      <c r="M400" s="488">
        <v>30000</v>
      </c>
      <c r="N400" s="488">
        <v>10000</v>
      </c>
      <c r="O400" s="470">
        <f t="shared" si="72"/>
        <v>10000</v>
      </c>
      <c r="P400" s="488"/>
      <c r="Q400" s="624" t="s">
        <v>976</v>
      </c>
    </row>
    <row r="401" spans="1:17" ht="16.5">
      <c r="A401" s="171" t="s">
        <v>140</v>
      </c>
      <c r="B401" s="174"/>
      <c r="C401" s="169" t="s">
        <v>433</v>
      </c>
      <c r="D401" s="490"/>
      <c r="E401" s="472">
        <f>(E402+E403+E404)</f>
        <v>60000</v>
      </c>
      <c r="F401" s="488">
        <f t="shared" si="68"/>
        <v>50000</v>
      </c>
      <c r="G401" s="472">
        <f t="shared" ref="G401:M401" si="73">(G402+G403+G404)</f>
        <v>50000</v>
      </c>
      <c r="H401" s="472">
        <f t="shared" si="73"/>
        <v>30000</v>
      </c>
      <c r="I401" s="472">
        <f t="shared" si="73"/>
        <v>20000</v>
      </c>
      <c r="J401" s="472">
        <f t="shared" si="73"/>
        <v>0</v>
      </c>
      <c r="K401" s="472">
        <f t="shared" si="73"/>
        <v>0</v>
      </c>
      <c r="L401" s="471">
        <f t="shared" si="73"/>
        <v>0</v>
      </c>
      <c r="M401" s="472">
        <f t="shared" si="73"/>
        <v>58000</v>
      </c>
      <c r="N401" s="472">
        <f>(N402+N403+N404)</f>
        <v>50000</v>
      </c>
      <c r="O401" s="466">
        <f t="shared" si="72"/>
        <v>50000</v>
      </c>
      <c r="P401" s="472"/>
      <c r="Q401" s="630"/>
    </row>
    <row r="402" spans="1:17" ht="30">
      <c r="A402" s="173"/>
      <c r="B402" s="174"/>
      <c r="C402" s="170" t="s">
        <v>977</v>
      </c>
      <c r="D402" s="490"/>
      <c r="E402" s="488">
        <v>20000</v>
      </c>
      <c r="F402" s="488">
        <f t="shared" si="68"/>
        <v>20000</v>
      </c>
      <c r="G402" s="484">
        <f t="shared" si="70"/>
        <v>20000</v>
      </c>
      <c r="H402" s="488">
        <v>10000</v>
      </c>
      <c r="I402" s="488">
        <v>10000</v>
      </c>
      <c r="J402" s="484"/>
      <c r="K402" s="484"/>
      <c r="L402" s="485"/>
      <c r="M402" s="484">
        <v>20000</v>
      </c>
      <c r="N402" s="484">
        <v>20000</v>
      </c>
      <c r="O402" s="470">
        <f t="shared" si="72"/>
        <v>20000</v>
      </c>
      <c r="P402" s="484"/>
      <c r="Q402" s="622"/>
    </row>
    <row r="403" spans="1:17" ht="16.5">
      <c r="A403" s="173"/>
      <c r="B403" s="174"/>
      <c r="C403" s="170" t="s">
        <v>594</v>
      </c>
      <c r="D403" s="490"/>
      <c r="E403" s="488">
        <v>20000</v>
      </c>
      <c r="F403" s="488">
        <f t="shared" si="68"/>
        <v>20000</v>
      </c>
      <c r="G403" s="484">
        <f t="shared" si="70"/>
        <v>20000</v>
      </c>
      <c r="H403" s="488">
        <v>10000</v>
      </c>
      <c r="I403" s="488">
        <v>10000</v>
      </c>
      <c r="J403" s="484"/>
      <c r="K403" s="484"/>
      <c r="L403" s="485"/>
      <c r="M403" s="484">
        <v>20000</v>
      </c>
      <c r="N403" s="484">
        <v>20000</v>
      </c>
      <c r="O403" s="470">
        <f t="shared" si="72"/>
        <v>20000</v>
      </c>
      <c r="P403" s="484"/>
      <c r="Q403" s="622"/>
    </row>
    <row r="404" spans="1:17" ht="16.5">
      <c r="A404" s="173"/>
      <c r="B404" s="174"/>
      <c r="C404" s="170" t="s">
        <v>142</v>
      </c>
      <c r="D404" s="490"/>
      <c r="E404" s="488">
        <v>20000</v>
      </c>
      <c r="F404" s="488">
        <f t="shared" si="68"/>
        <v>10000</v>
      </c>
      <c r="G404" s="484">
        <f>H404+I404</f>
        <v>10000</v>
      </c>
      <c r="H404" s="488">
        <v>10000</v>
      </c>
      <c r="I404" s="488"/>
      <c r="J404" s="484"/>
      <c r="K404" s="484"/>
      <c r="L404" s="485"/>
      <c r="M404" s="484">
        <v>18000</v>
      </c>
      <c r="N404" s="484">
        <v>10000</v>
      </c>
      <c r="O404" s="470">
        <f t="shared" si="72"/>
        <v>10000</v>
      </c>
      <c r="P404" s="484"/>
      <c r="Q404" s="634"/>
    </row>
    <row r="405" spans="1:17" ht="16.5">
      <c r="A405" s="171" t="s">
        <v>141</v>
      </c>
      <c r="B405" s="174"/>
      <c r="C405" s="169" t="s">
        <v>434</v>
      </c>
      <c r="D405" s="471">
        <f>SUM(D406:D409)</f>
        <v>0</v>
      </c>
      <c r="E405" s="472">
        <f>SUM(E406:E409)</f>
        <v>100000</v>
      </c>
      <c r="F405" s="488">
        <f t="shared" si="68"/>
        <v>40000</v>
      </c>
      <c r="G405" s="472">
        <f t="shared" si="70"/>
        <v>40000</v>
      </c>
      <c r="H405" s="472">
        <f>SUM(H406:H409)</f>
        <v>40000</v>
      </c>
      <c r="I405" s="472">
        <f>SUM(I406:I409)</f>
        <v>0</v>
      </c>
      <c r="J405" s="472"/>
      <c r="K405" s="472"/>
      <c r="L405" s="471"/>
      <c r="M405" s="472">
        <f>SUM(M406:M409)</f>
        <v>100000</v>
      </c>
      <c r="N405" s="472">
        <f>SUM(N406:N409)</f>
        <v>80000</v>
      </c>
      <c r="O405" s="466">
        <f t="shared" si="72"/>
        <v>80000</v>
      </c>
      <c r="P405" s="472"/>
      <c r="Q405" s="622"/>
    </row>
    <row r="406" spans="1:17" ht="105">
      <c r="A406" s="173"/>
      <c r="B406" s="174"/>
      <c r="C406" s="170" t="s">
        <v>978</v>
      </c>
      <c r="D406" s="490"/>
      <c r="E406" s="488">
        <v>30000</v>
      </c>
      <c r="F406" s="488">
        <f t="shared" si="68"/>
        <v>0</v>
      </c>
      <c r="G406" s="484">
        <f t="shared" si="70"/>
        <v>0</v>
      </c>
      <c r="H406" s="488"/>
      <c r="I406" s="488"/>
      <c r="J406" s="488"/>
      <c r="K406" s="488"/>
      <c r="L406" s="490"/>
      <c r="M406" s="488">
        <v>30000</v>
      </c>
      <c r="N406" s="488">
        <v>30000</v>
      </c>
      <c r="O406" s="470">
        <f t="shared" si="72"/>
        <v>30000</v>
      </c>
      <c r="P406" s="488"/>
      <c r="Q406" s="622"/>
    </row>
    <row r="407" spans="1:17" ht="120">
      <c r="A407" s="173"/>
      <c r="B407" s="174"/>
      <c r="C407" s="170" t="s">
        <v>1173</v>
      </c>
      <c r="D407" s="490"/>
      <c r="E407" s="488"/>
      <c r="F407" s="488">
        <f t="shared" si="68"/>
        <v>0</v>
      </c>
      <c r="G407" s="484"/>
      <c r="H407" s="488"/>
      <c r="I407" s="488"/>
      <c r="J407" s="488"/>
      <c r="K407" s="488"/>
      <c r="L407" s="490"/>
      <c r="M407" s="488">
        <v>20000</v>
      </c>
      <c r="N407" s="488">
        <v>10000</v>
      </c>
      <c r="O407" s="470">
        <f t="shared" si="72"/>
        <v>10000</v>
      </c>
      <c r="P407" s="488"/>
      <c r="Q407" s="622"/>
    </row>
    <row r="408" spans="1:17" ht="16.5">
      <c r="A408" s="173"/>
      <c r="B408" s="174"/>
      <c r="C408" s="170" t="s">
        <v>151</v>
      </c>
      <c r="D408" s="490"/>
      <c r="E408" s="488">
        <v>20000</v>
      </c>
      <c r="F408" s="488">
        <f t="shared" si="68"/>
        <v>10000</v>
      </c>
      <c r="G408" s="484">
        <f t="shared" si="70"/>
        <v>10000</v>
      </c>
      <c r="H408" s="488">
        <v>10000</v>
      </c>
      <c r="I408" s="488"/>
      <c r="J408" s="484"/>
      <c r="K408" s="484"/>
      <c r="L408" s="485"/>
      <c r="M408" s="493">
        <v>20000</v>
      </c>
      <c r="N408" s="493">
        <v>10000</v>
      </c>
      <c r="O408" s="470">
        <f t="shared" si="72"/>
        <v>10000</v>
      </c>
      <c r="P408" s="493"/>
      <c r="Q408" s="622" t="s">
        <v>979</v>
      </c>
    </row>
    <row r="409" spans="1:17" ht="16.5">
      <c r="A409" s="173"/>
      <c r="B409" s="174"/>
      <c r="C409" s="170" t="s">
        <v>116</v>
      </c>
      <c r="D409" s="490"/>
      <c r="E409" s="488">
        <v>50000</v>
      </c>
      <c r="F409" s="488">
        <f t="shared" si="68"/>
        <v>30000</v>
      </c>
      <c r="G409" s="484">
        <f t="shared" si="70"/>
        <v>30000</v>
      </c>
      <c r="H409" s="488">
        <v>30000</v>
      </c>
      <c r="I409" s="488"/>
      <c r="J409" s="484"/>
      <c r="K409" s="484"/>
      <c r="L409" s="485"/>
      <c r="M409" s="493">
        <v>30000</v>
      </c>
      <c r="N409" s="493">
        <v>30000</v>
      </c>
      <c r="O409" s="470">
        <f t="shared" si="72"/>
        <v>30000</v>
      </c>
      <c r="P409" s="493"/>
      <c r="Q409" s="622"/>
    </row>
    <row r="410" spans="1:17" ht="16.5">
      <c r="A410" s="478">
        <v>3</v>
      </c>
      <c r="B410" s="172"/>
      <c r="C410" s="480" t="s">
        <v>980</v>
      </c>
      <c r="D410" s="490"/>
      <c r="E410" s="491">
        <v>1000000</v>
      </c>
      <c r="F410" s="491">
        <f t="shared" si="68"/>
        <v>700000</v>
      </c>
      <c r="G410" s="472">
        <f t="shared" si="70"/>
        <v>700000</v>
      </c>
      <c r="H410" s="491">
        <v>200000</v>
      </c>
      <c r="I410" s="491">
        <v>500000</v>
      </c>
      <c r="J410" s="491"/>
      <c r="K410" s="491"/>
      <c r="L410" s="492"/>
      <c r="M410" s="491">
        <v>300000</v>
      </c>
      <c r="N410" s="491">
        <v>300000</v>
      </c>
      <c r="O410" s="466">
        <f t="shared" si="72"/>
        <v>300000</v>
      </c>
      <c r="P410" s="491"/>
      <c r="Q410" s="622"/>
    </row>
    <row r="411" spans="1:17" ht="16.5">
      <c r="A411" s="478">
        <v>4</v>
      </c>
      <c r="B411" s="172"/>
      <c r="C411" s="480" t="s">
        <v>446</v>
      </c>
      <c r="D411" s="490"/>
      <c r="E411" s="491">
        <v>2100000</v>
      </c>
      <c r="F411" s="491">
        <f t="shared" si="68"/>
        <v>2100000</v>
      </c>
      <c r="G411" s="472">
        <f t="shared" si="70"/>
        <v>2100000</v>
      </c>
      <c r="H411" s="491">
        <v>2100000</v>
      </c>
      <c r="I411" s="491"/>
      <c r="J411" s="491"/>
      <c r="K411" s="491"/>
      <c r="L411" s="492"/>
      <c r="M411" s="491">
        <v>2100000</v>
      </c>
      <c r="N411" s="491">
        <v>2100000</v>
      </c>
      <c r="O411" s="466">
        <f t="shared" si="72"/>
        <v>2100000</v>
      </c>
      <c r="P411" s="491"/>
      <c r="Q411" s="622"/>
    </row>
    <row r="412" spans="1:17" ht="16.5">
      <c r="A412" s="478">
        <v>5</v>
      </c>
      <c r="B412" s="172"/>
      <c r="C412" s="480" t="s">
        <v>523</v>
      </c>
      <c r="D412" s="490"/>
      <c r="E412" s="491">
        <v>1318000</v>
      </c>
      <c r="F412" s="491">
        <f t="shared" si="68"/>
        <v>1318000</v>
      </c>
      <c r="G412" s="472">
        <f t="shared" si="70"/>
        <v>1318000</v>
      </c>
      <c r="H412" s="491">
        <v>1318000</v>
      </c>
      <c r="I412" s="491"/>
      <c r="J412" s="491"/>
      <c r="K412" s="491"/>
      <c r="L412" s="492"/>
      <c r="M412" s="491">
        <v>1632000</v>
      </c>
      <c r="N412" s="491">
        <v>1632000</v>
      </c>
      <c r="O412" s="466">
        <f t="shared" si="72"/>
        <v>1632000</v>
      </c>
      <c r="P412" s="491"/>
      <c r="Q412" s="622"/>
    </row>
    <row r="413" spans="1:17" ht="16.5">
      <c r="A413" s="478">
        <v>6</v>
      </c>
      <c r="B413" s="479"/>
      <c r="C413" s="480" t="s">
        <v>810</v>
      </c>
      <c r="D413" s="471">
        <f>SUM(D414:D415)</f>
        <v>0</v>
      </c>
      <c r="E413" s="472">
        <f>SUM(E414:E415)</f>
        <v>24000</v>
      </c>
      <c r="F413" s="491">
        <f t="shared" si="68"/>
        <v>24000</v>
      </c>
      <c r="G413" s="472">
        <f>H413+I413</f>
        <v>24000</v>
      </c>
      <c r="H413" s="472">
        <f>SUM(H414:H415)</f>
        <v>24000</v>
      </c>
      <c r="I413" s="472">
        <f>SUM(I414:I420)</f>
        <v>0</v>
      </c>
      <c r="J413" s="472">
        <f>SUM(J414:J420)</f>
        <v>0</v>
      </c>
      <c r="K413" s="472">
        <f>SUM(K414:K415)</f>
        <v>0</v>
      </c>
      <c r="L413" s="471">
        <f>SUM(L414:L415)</f>
        <v>0</v>
      </c>
      <c r="M413" s="472">
        <f>SUM(M414:M420)</f>
        <v>96000</v>
      </c>
      <c r="N413" s="472">
        <f>SUM(N414:N420)</f>
        <v>78000</v>
      </c>
      <c r="O413" s="466">
        <f t="shared" si="72"/>
        <v>78000</v>
      </c>
      <c r="P413" s="472"/>
      <c r="Q413" s="622"/>
    </row>
    <row r="414" spans="1:17" ht="16.5">
      <c r="A414" s="171"/>
      <c r="B414" s="174"/>
      <c r="C414" s="170" t="s">
        <v>572</v>
      </c>
      <c r="D414" s="490"/>
      <c r="E414" s="488">
        <v>12000</v>
      </c>
      <c r="F414" s="488">
        <f t="shared" si="68"/>
        <v>12000</v>
      </c>
      <c r="G414" s="484">
        <f t="shared" si="70"/>
        <v>12000</v>
      </c>
      <c r="H414" s="488">
        <v>12000</v>
      </c>
      <c r="I414" s="488"/>
      <c r="J414" s="488"/>
      <c r="K414" s="488"/>
      <c r="L414" s="490"/>
      <c r="M414" s="488">
        <v>12000</v>
      </c>
      <c r="N414" s="488">
        <v>12000</v>
      </c>
      <c r="O414" s="470">
        <f t="shared" si="72"/>
        <v>12000</v>
      </c>
      <c r="P414" s="488"/>
      <c r="Q414" s="622"/>
    </row>
    <row r="415" spans="1:17" ht="16.5">
      <c r="A415" s="171"/>
      <c r="B415" s="174"/>
      <c r="C415" s="170" t="s">
        <v>370</v>
      </c>
      <c r="D415" s="490"/>
      <c r="E415" s="488">
        <v>12000</v>
      </c>
      <c r="F415" s="488">
        <f t="shared" si="68"/>
        <v>12000</v>
      </c>
      <c r="G415" s="484">
        <f t="shared" si="70"/>
        <v>12000</v>
      </c>
      <c r="H415" s="488">
        <v>12000</v>
      </c>
      <c r="I415" s="488"/>
      <c r="J415" s="488"/>
      <c r="K415" s="488"/>
      <c r="L415" s="490"/>
      <c r="M415" s="488">
        <v>13000</v>
      </c>
      <c r="N415" s="488">
        <v>13000</v>
      </c>
      <c r="O415" s="470">
        <f t="shared" si="72"/>
        <v>13000</v>
      </c>
      <c r="P415" s="488"/>
      <c r="Q415" s="622"/>
    </row>
    <row r="416" spans="1:17" ht="16.5">
      <c r="A416" s="171"/>
      <c r="B416" s="174"/>
      <c r="C416" s="170" t="s">
        <v>981</v>
      </c>
      <c r="D416" s="490"/>
      <c r="E416" s="488"/>
      <c r="F416" s="488">
        <f t="shared" si="68"/>
        <v>0</v>
      </c>
      <c r="G416" s="484"/>
      <c r="H416" s="488"/>
      <c r="I416" s="488"/>
      <c r="J416" s="488"/>
      <c r="K416" s="488"/>
      <c r="L416" s="490"/>
      <c r="M416" s="488">
        <v>12000</v>
      </c>
      <c r="N416" s="488">
        <v>10000</v>
      </c>
      <c r="O416" s="470">
        <f t="shared" si="72"/>
        <v>10000</v>
      </c>
      <c r="P416" s="488"/>
      <c r="Q416" s="622"/>
    </row>
    <row r="417" spans="1:17" ht="16.5">
      <c r="A417" s="171"/>
      <c r="B417" s="174"/>
      <c r="C417" s="170" t="s">
        <v>982</v>
      </c>
      <c r="D417" s="490"/>
      <c r="E417" s="488"/>
      <c r="F417" s="488">
        <f t="shared" si="68"/>
        <v>0</v>
      </c>
      <c r="G417" s="484"/>
      <c r="H417" s="488"/>
      <c r="I417" s="488"/>
      <c r="J417" s="488"/>
      <c r="K417" s="488"/>
      <c r="L417" s="490"/>
      <c r="M417" s="488">
        <v>15000</v>
      </c>
      <c r="N417" s="488">
        <v>10000</v>
      </c>
      <c r="O417" s="470">
        <f t="shared" si="72"/>
        <v>10000</v>
      </c>
      <c r="P417" s="488"/>
      <c r="Q417" s="622"/>
    </row>
    <row r="418" spans="1:17" ht="16.5">
      <c r="A418" s="171"/>
      <c r="B418" s="174"/>
      <c r="C418" s="170" t="s">
        <v>983</v>
      </c>
      <c r="D418" s="490"/>
      <c r="E418" s="488"/>
      <c r="F418" s="488">
        <f t="shared" si="68"/>
        <v>0</v>
      </c>
      <c r="G418" s="484"/>
      <c r="H418" s="488"/>
      <c r="I418" s="488"/>
      <c r="J418" s="488"/>
      <c r="K418" s="488"/>
      <c r="L418" s="490"/>
      <c r="M418" s="488">
        <v>20000</v>
      </c>
      <c r="N418" s="488">
        <v>10000</v>
      </c>
      <c r="O418" s="470">
        <f t="shared" si="72"/>
        <v>10000</v>
      </c>
      <c r="P418" s="488"/>
      <c r="Q418" s="622"/>
    </row>
    <row r="419" spans="1:17" ht="16.5">
      <c r="A419" s="171"/>
      <c r="B419" s="174"/>
      <c r="C419" s="170" t="s">
        <v>984</v>
      </c>
      <c r="D419" s="490"/>
      <c r="E419" s="488"/>
      <c r="F419" s="488">
        <f t="shared" si="68"/>
        <v>0</v>
      </c>
      <c r="G419" s="484"/>
      <c r="H419" s="488"/>
      <c r="I419" s="488"/>
      <c r="J419" s="488"/>
      <c r="K419" s="488"/>
      <c r="L419" s="490"/>
      <c r="M419" s="488">
        <v>16000</v>
      </c>
      <c r="N419" s="488">
        <v>15000</v>
      </c>
      <c r="O419" s="470">
        <f t="shared" si="72"/>
        <v>15000</v>
      </c>
      <c r="P419" s="488"/>
      <c r="Q419" s="622"/>
    </row>
    <row r="420" spans="1:17" ht="16.5">
      <c r="A420" s="171"/>
      <c r="B420" s="174"/>
      <c r="C420" s="170" t="s">
        <v>985</v>
      </c>
      <c r="D420" s="490"/>
      <c r="E420" s="488"/>
      <c r="F420" s="488">
        <f t="shared" si="68"/>
        <v>0</v>
      </c>
      <c r="G420" s="484"/>
      <c r="H420" s="488"/>
      <c r="I420" s="488"/>
      <c r="J420" s="488"/>
      <c r="K420" s="488"/>
      <c r="L420" s="490"/>
      <c r="M420" s="488">
        <v>8000</v>
      </c>
      <c r="N420" s="488">
        <v>8000</v>
      </c>
      <c r="O420" s="470">
        <f t="shared" si="72"/>
        <v>8000</v>
      </c>
      <c r="P420" s="488"/>
      <c r="Q420" s="622"/>
    </row>
    <row r="421" spans="1:17" ht="16.5">
      <c r="A421" s="478">
        <v>7</v>
      </c>
      <c r="B421" s="479"/>
      <c r="C421" s="480" t="s">
        <v>147</v>
      </c>
      <c r="D421" s="481">
        <f>D422+D429+D430</f>
        <v>0</v>
      </c>
      <c r="E421" s="482">
        <f>E422+E429+E430</f>
        <v>250000</v>
      </c>
      <c r="F421" s="491">
        <f t="shared" si="68"/>
        <v>231450</v>
      </c>
      <c r="G421" s="482">
        <f t="shared" si="70"/>
        <v>165000</v>
      </c>
      <c r="H421" s="482">
        <f>H422+H429+H430</f>
        <v>115000</v>
      </c>
      <c r="I421" s="482">
        <f>I422+I429+I430+I435</f>
        <v>50000</v>
      </c>
      <c r="J421" s="482">
        <f>J422+J429+J430</f>
        <v>66450</v>
      </c>
      <c r="K421" s="482">
        <f>K422+K429+K430</f>
        <v>0</v>
      </c>
      <c r="L421" s="481">
        <f>L422+L429+L430</f>
        <v>0</v>
      </c>
      <c r="M421" s="482">
        <f>M422+M429+M430+M435</f>
        <v>705000</v>
      </c>
      <c r="N421" s="482">
        <f>N422+N429+N430+N435</f>
        <v>372000</v>
      </c>
      <c r="O421" s="466">
        <f t="shared" si="72"/>
        <v>372000</v>
      </c>
      <c r="P421" s="482"/>
      <c r="Q421" s="631"/>
    </row>
    <row r="422" spans="1:17" ht="16.5">
      <c r="A422" s="171" t="s">
        <v>117</v>
      </c>
      <c r="B422" s="174"/>
      <c r="C422" s="169" t="s">
        <v>583</v>
      </c>
      <c r="D422" s="471">
        <f>SUM(D423:D424)</f>
        <v>0</v>
      </c>
      <c r="E422" s="472">
        <f>SUM(E423:E424)</f>
        <v>170000</v>
      </c>
      <c r="F422" s="491">
        <f t="shared" si="68"/>
        <v>176450</v>
      </c>
      <c r="G422" s="472">
        <f t="shared" si="70"/>
        <v>120000</v>
      </c>
      <c r="H422" s="472">
        <f>SUM(H423:H424)</f>
        <v>80000</v>
      </c>
      <c r="I422" s="472">
        <f>SUM(I423:I428)</f>
        <v>40000</v>
      </c>
      <c r="J422" s="472">
        <f>SUM(J423:J428)</f>
        <v>56450</v>
      </c>
      <c r="K422" s="472">
        <f>SUM(K423:K428)</f>
        <v>0</v>
      </c>
      <c r="L422" s="471">
        <f>SUM(L423:L424)</f>
        <v>0</v>
      </c>
      <c r="M422" s="472">
        <f>SUM(M423:M428)</f>
        <v>540000</v>
      </c>
      <c r="N422" s="472">
        <f>SUM(N423:N428)</f>
        <v>272000</v>
      </c>
      <c r="O422" s="466">
        <f t="shared" si="72"/>
        <v>272000</v>
      </c>
      <c r="P422" s="472"/>
      <c r="Q422" s="622"/>
    </row>
    <row r="423" spans="1:17" ht="62.25" customHeight="1">
      <c r="A423" s="171"/>
      <c r="B423" s="174"/>
      <c r="C423" s="170" t="s">
        <v>986</v>
      </c>
      <c r="D423" s="490"/>
      <c r="E423" s="488">
        <v>150000</v>
      </c>
      <c r="F423" s="488">
        <f t="shared" si="68"/>
        <v>100000</v>
      </c>
      <c r="G423" s="484">
        <f t="shared" si="70"/>
        <v>100000</v>
      </c>
      <c r="H423" s="488">
        <v>70000</v>
      </c>
      <c r="I423" s="488">
        <v>30000</v>
      </c>
      <c r="J423" s="484"/>
      <c r="K423" s="484"/>
      <c r="L423" s="485"/>
      <c r="M423" s="484">
        <v>150000</v>
      </c>
      <c r="N423" s="484">
        <v>100000</v>
      </c>
      <c r="O423" s="470">
        <f t="shared" si="72"/>
        <v>100000</v>
      </c>
      <c r="P423" s="533"/>
      <c r="Q423" s="621" t="s">
        <v>987</v>
      </c>
    </row>
    <row r="424" spans="1:17" ht="30">
      <c r="A424" s="171"/>
      <c r="B424" s="174"/>
      <c r="C424" s="170" t="s">
        <v>371</v>
      </c>
      <c r="D424" s="490"/>
      <c r="E424" s="488">
        <v>20000</v>
      </c>
      <c r="F424" s="488">
        <f t="shared" si="68"/>
        <v>20000</v>
      </c>
      <c r="G424" s="484">
        <f t="shared" si="70"/>
        <v>20000</v>
      </c>
      <c r="H424" s="488">
        <v>10000</v>
      </c>
      <c r="I424" s="488">
        <v>10000</v>
      </c>
      <c r="J424" s="484"/>
      <c r="K424" s="484"/>
      <c r="L424" s="485"/>
      <c r="M424" s="484">
        <v>30000</v>
      </c>
      <c r="N424" s="484">
        <v>20000</v>
      </c>
      <c r="O424" s="470">
        <f t="shared" si="72"/>
        <v>20000</v>
      </c>
      <c r="P424" s="484"/>
      <c r="Q424" s="622"/>
    </row>
    <row r="425" spans="1:17" ht="69.75" customHeight="1">
      <c r="A425" s="171"/>
      <c r="B425" s="174"/>
      <c r="C425" s="170" t="s">
        <v>988</v>
      </c>
      <c r="D425" s="490"/>
      <c r="E425" s="488"/>
      <c r="F425" s="488">
        <f t="shared" si="68"/>
        <v>0</v>
      </c>
      <c r="G425" s="484"/>
      <c r="H425" s="488"/>
      <c r="I425" s="488"/>
      <c r="J425" s="484"/>
      <c r="K425" s="484"/>
      <c r="L425" s="485"/>
      <c r="M425" s="484">
        <v>60000</v>
      </c>
      <c r="N425" s="484">
        <v>42000</v>
      </c>
      <c r="O425" s="470">
        <f t="shared" si="72"/>
        <v>42000</v>
      </c>
      <c r="P425" s="484"/>
      <c r="Q425" s="623" t="s">
        <v>989</v>
      </c>
    </row>
    <row r="426" spans="1:17" ht="45.75" customHeight="1">
      <c r="A426" s="171"/>
      <c r="B426" s="174"/>
      <c r="C426" s="170" t="s">
        <v>990</v>
      </c>
      <c r="D426" s="490"/>
      <c r="E426" s="488"/>
      <c r="F426" s="488">
        <f t="shared" si="68"/>
        <v>0</v>
      </c>
      <c r="G426" s="484"/>
      <c r="H426" s="488"/>
      <c r="I426" s="488"/>
      <c r="J426" s="484"/>
      <c r="K426" s="484"/>
      <c r="L426" s="485"/>
      <c r="M426" s="484">
        <v>120000</v>
      </c>
      <c r="N426" s="484"/>
      <c r="O426" s="470">
        <f t="shared" si="72"/>
        <v>0</v>
      </c>
      <c r="P426" s="484"/>
      <c r="Q426" s="357" t="s">
        <v>991</v>
      </c>
    </row>
    <row r="427" spans="1:17" ht="39" customHeight="1">
      <c r="A427" s="171"/>
      <c r="B427" s="174"/>
      <c r="C427" s="170" t="s">
        <v>992</v>
      </c>
      <c r="D427" s="490"/>
      <c r="E427" s="488"/>
      <c r="F427" s="488">
        <f t="shared" si="68"/>
        <v>56450</v>
      </c>
      <c r="G427" s="484"/>
      <c r="H427" s="488"/>
      <c r="I427" s="488"/>
      <c r="J427" s="484">
        <v>56450</v>
      </c>
      <c r="K427" s="484"/>
      <c r="L427" s="485"/>
      <c r="M427" s="484">
        <v>150000</v>
      </c>
      <c r="N427" s="484">
        <v>100000</v>
      </c>
      <c r="O427" s="470">
        <f t="shared" si="72"/>
        <v>100000</v>
      </c>
      <c r="P427" s="484"/>
      <c r="Q427" s="357" t="s">
        <v>993</v>
      </c>
    </row>
    <row r="428" spans="1:17" ht="16.5">
      <c r="A428" s="171"/>
      <c r="B428" s="174"/>
      <c r="C428" s="170" t="s">
        <v>994</v>
      </c>
      <c r="D428" s="490"/>
      <c r="E428" s="488"/>
      <c r="F428" s="488">
        <f t="shared" si="68"/>
        <v>0</v>
      </c>
      <c r="G428" s="484"/>
      <c r="H428" s="488"/>
      <c r="I428" s="488"/>
      <c r="J428" s="484"/>
      <c r="K428" s="484"/>
      <c r="L428" s="485"/>
      <c r="M428" s="484">
        <v>30000</v>
      </c>
      <c r="N428" s="484">
        <v>10000</v>
      </c>
      <c r="O428" s="470">
        <f t="shared" si="72"/>
        <v>10000</v>
      </c>
      <c r="P428" s="484"/>
      <c r="Q428" s="624" t="s">
        <v>976</v>
      </c>
    </row>
    <row r="429" spans="1:17" ht="16.5">
      <c r="A429" s="171" t="s">
        <v>118</v>
      </c>
      <c r="B429" s="174"/>
      <c r="C429" s="169" t="s">
        <v>584</v>
      </c>
      <c r="D429" s="490"/>
      <c r="E429" s="491">
        <v>10000</v>
      </c>
      <c r="F429" s="488">
        <f t="shared" si="68"/>
        <v>10000</v>
      </c>
      <c r="G429" s="472">
        <f t="shared" si="70"/>
        <v>10000</v>
      </c>
      <c r="H429" s="491">
        <v>10000</v>
      </c>
      <c r="I429" s="491"/>
      <c r="J429" s="472"/>
      <c r="K429" s="472"/>
      <c r="L429" s="471"/>
      <c r="M429" s="472">
        <v>10000</v>
      </c>
      <c r="N429" s="472">
        <v>10000</v>
      </c>
      <c r="O429" s="470">
        <f t="shared" si="72"/>
        <v>10000</v>
      </c>
      <c r="P429" s="472"/>
      <c r="Q429" s="622"/>
    </row>
    <row r="430" spans="1:17" s="118" customFormat="1" ht="16.5">
      <c r="A430" s="171" t="s">
        <v>119</v>
      </c>
      <c r="B430" s="174"/>
      <c r="C430" s="169" t="s">
        <v>585</v>
      </c>
      <c r="D430" s="490"/>
      <c r="E430" s="472">
        <f>SUM(E431:E432)</f>
        <v>70000</v>
      </c>
      <c r="F430" s="488">
        <f t="shared" si="68"/>
        <v>45000</v>
      </c>
      <c r="G430" s="472">
        <f t="shared" si="70"/>
        <v>35000</v>
      </c>
      <c r="H430" s="472">
        <f>SUM(H431:H432)</f>
        <v>25000</v>
      </c>
      <c r="I430" s="472">
        <f>SUM(I431:I435)</f>
        <v>10000</v>
      </c>
      <c r="J430" s="472">
        <f>SUM(J431:J435)</f>
        <v>10000</v>
      </c>
      <c r="K430" s="472">
        <f t="shared" ref="K430:L430" si="74">SUM(K431:K432)</f>
        <v>0</v>
      </c>
      <c r="L430" s="471">
        <f t="shared" si="74"/>
        <v>0</v>
      </c>
      <c r="M430" s="472">
        <f>SUM(M431:M434)</f>
        <v>140000</v>
      </c>
      <c r="N430" s="472">
        <f>SUM(N431:N434)</f>
        <v>75000</v>
      </c>
      <c r="O430" s="470">
        <f t="shared" si="72"/>
        <v>75000</v>
      </c>
      <c r="P430" s="472"/>
      <c r="Q430" s="636"/>
    </row>
    <row r="431" spans="1:17" s="118" customFormat="1" ht="60">
      <c r="A431" s="173"/>
      <c r="B431" s="174"/>
      <c r="C431" s="170" t="s">
        <v>120</v>
      </c>
      <c r="D431" s="490"/>
      <c r="E431" s="488">
        <v>40000</v>
      </c>
      <c r="F431" s="488">
        <f t="shared" si="68"/>
        <v>25000</v>
      </c>
      <c r="G431" s="484">
        <f t="shared" si="70"/>
        <v>25000</v>
      </c>
      <c r="H431" s="488">
        <v>15000</v>
      </c>
      <c r="I431" s="488">
        <v>10000</v>
      </c>
      <c r="J431" s="484"/>
      <c r="K431" s="484"/>
      <c r="L431" s="485"/>
      <c r="M431" s="484">
        <v>40000</v>
      </c>
      <c r="N431" s="484">
        <v>25000</v>
      </c>
      <c r="O431" s="470">
        <f t="shared" si="72"/>
        <v>25000</v>
      </c>
      <c r="P431" s="484"/>
      <c r="Q431" s="636"/>
    </row>
    <row r="432" spans="1:17" s="118" customFormat="1" ht="45">
      <c r="A432" s="173"/>
      <c r="B432" s="174"/>
      <c r="C432" s="170" t="s">
        <v>473</v>
      </c>
      <c r="D432" s="490"/>
      <c r="E432" s="488">
        <v>30000</v>
      </c>
      <c r="F432" s="488">
        <f t="shared" si="68"/>
        <v>10000</v>
      </c>
      <c r="G432" s="484">
        <f t="shared" si="70"/>
        <v>10000</v>
      </c>
      <c r="H432" s="488">
        <v>10000</v>
      </c>
      <c r="I432" s="488"/>
      <c r="J432" s="484"/>
      <c r="K432" s="484"/>
      <c r="L432" s="485"/>
      <c r="M432" s="484">
        <v>30000</v>
      </c>
      <c r="N432" s="484">
        <v>10000</v>
      </c>
      <c r="O432" s="470">
        <f t="shared" si="72"/>
        <v>10000</v>
      </c>
      <c r="P432" s="484"/>
      <c r="Q432" s="636"/>
    </row>
    <row r="433" spans="1:19" s="118" customFormat="1" ht="45" customHeight="1">
      <c r="A433" s="173"/>
      <c r="B433" s="174"/>
      <c r="C433" s="170" t="s">
        <v>995</v>
      </c>
      <c r="D433" s="490"/>
      <c r="E433" s="488"/>
      <c r="F433" s="488">
        <f t="shared" si="68"/>
        <v>0</v>
      </c>
      <c r="G433" s="484"/>
      <c r="H433" s="488"/>
      <c r="I433" s="488"/>
      <c r="J433" s="484"/>
      <c r="K433" s="484"/>
      <c r="L433" s="485"/>
      <c r="M433" s="484">
        <v>50000</v>
      </c>
      <c r="N433" s="484">
        <v>30000</v>
      </c>
      <c r="O433" s="470">
        <f t="shared" si="72"/>
        <v>30000</v>
      </c>
      <c r="P433" s="484"/>
      <c r="Q433" s="634" t="s">
        <v>996</v>
      </c>
    </row>
    <row r="434" spans="1:19" s="118" customFormat="1" ht="22.5" customHeight="1">
      <c r="A434" s="173"/>
      <c r="B434" s="174"/>
      <c r="C434" s="170" t="s">
        <v>997</v>
      </c>
      <c r="D434" s="490"/>
      <c r="E434" s="488"/>
      <c r="F434" s="488">
        <f t="shared" si="68"/>
        <v>10000</v>
      </c>
      <c r="G434" s="484"/>
      <c r="H434" s="488"/>
      <c r="I434" s="488"/>
      <c r="J434" s="484">
        <v>10000</v>
      </c>
      <c r="K434" s="484"/>
      <c r="L434" s="485"/>
      <c r="M434" s="484">
        <v>20000</v>
      </c>
      <c r="N434" s="484">
        <v>10000</v>
      </c>
      <c r="O434" s="470">
        <f t="shared" si="72"/>
        <v>10000</v>
      </c>
      <c r="P434" s="484"/>
      <c r="Q434" s="622" t="s">
        <v>976</v>
      </c>
    </row>
    <row r="435" spans="1:19" s="118" customFormat="1" ht="30.75" customHeight="1">
      <c r="A435" s="171" t="s">
        <v>998</v>
      </c>
      <c r="B435" s="172"/>
      <c r="C435" s="169" t="s">
        <v>999</v>
      </c>
      <c r="D435" s="492"/>
      <c r="E435" s="491"/>
      <c r="F435" s="488">
        <f t="shared" si="68"/>
        <v>0</v>
      </c>
      <c r="G435" s="472"/>
      <c r="H435" s="491"/>
      <c r="I435" s="491"/>
      <c r="J435" s="472"/>
      <c r="K435" s="472"/>
      <c r="L435" s="471"/>
      <c r="M435" s="472">
        <v>15000</v>
      </c>
      <c r="N435" s="472">
        <v>15000</v>
      </c>
      <c r="O435" s="466">
        <f t="shared" si="72"/>
        <v>15000</v>
      </c>
      <c r="P435" s="472"/>
      <c r="Q435" s="636"/>
    </row>
    <row r="436" spans="1:19" ht="30.75" customHeight="1">
      <c r="A436" s="478">
        <v>8</v>
      </c>
      <c r="B436" s="479"/>
      <c r="C436" s="480" t="s">
        <v>38</v>
      </c>
      <c r="D436" s="471">
        <f>D440+D451+D452+D455+D457</f>
        <v>0</v>
      </c>
      <c r="E436" s="472" t="e">
        <f>E440+E451+E452+E455+E457</f>
        <v>#REF!</v>
      </c>
      <c r="F436" s="491">
        <f t="shared" si="68"/>
        <v>1547423.0880999998</v>
      </c>
      <c r="G436" s="472">
        <f>H436+I436</f>
        <v>1516433.0880999998</v>
      </c>
      <c r="H436" s="472">
        <f>H440+H451+H452+H455+H457</f>
        <v>1426433.0880999998</v>
      </c>
      <c r="I436" s="472">
        <f>I440+I451+I452+I455+I457</f>
        <v>90000</v>
      </c>
      <c r="J436" s="472">
        <f>J440+J451+J452+J455+J457</f>
        <v>30990</v>
      </c>
      <c r="K436" s="472"/>
      <c r="L436" s="471"/>
      <c r="M436" s="472">
        <f>M440+M445</f>
        <v>1775990.6162999999</v>
      </c>
      <c r="N436" s="472">
        <f>N440+N445</f>
        <v>1775990.6162999999</v>
      </c>
      <c r="O436" s="466">
        <f t="shared" si="72"/>
        <v>1775990.6162999999</v>
      </c>
      <c r="P436" s="472"/>
      <c r="Q436" s="622"/>
    </row>
    <row r="437" spans="1:19" ht="21" customHeight="1">
      <c r="A437" s="173"/>
      <c r="B437" s="174"/>
      <c r="C437" s="169" t="s">
        <v>566</v>
      </c>
      <c r="D437" s="471">
        <f>D440+D445</f>
        <v>0</v>
      </c>
      <c r="E437" s="472" t="e">
        <f>E440+E445</f>
        <v>#REF!</v>
      </c>
      <c r="F437" s="491">
        <f t="shared" si="68"/>
        <v>1616923.0880999998</v>
      </c>
      <c r="G437" s="472">
        <f t="shared" si="70"/>
        <v>1585933.0880999998</v>
      </c>
      <c r="H437" s="472">
        <f>H440+H445</f>
        <v>1495933.0880999998</v>
      </c>
      <c r="I437" s="472">
        <f>I440+I445</f>
        <v>90000</v>
      </c>
      <c r="J437" s="472">
        <f>J440+J445</f>
        <v>30990</v>
      </c>
      <c r="K437" s="472"/>
      <c r="L437" s="471"/>
      <c r="M437" s="472">
        <f>M440+M445</f>
        <v>1775990.6162999999</v>
      </c>
      <c r="N437" s="472">
        <f>N440+N445</f>
        <v>1775990.6162999999</v>
      </c>
      <c r="O437" s="466">
        <f t="shared" si="72"/>
        <v>1775990.6162999999</v>
      </c>
      <c r="P437" s="472"/>
      <c r="Q437" s="622"/>
    </row>
    <row r="438" spans="1:19" ht="24" customHeight="1">
      <c r="A438" s="171"/>
      <c r="B438" s="172"/>
      <c r="C438" s="169" t="s">
        <v>785</v>
      </c>
      <c r="D438" s="490"/>
      <c r="E438" s="491">
        <v>250000</v>
      </c>
      <c r="F438" s="491">
        <f t="shared" ref="F438:F459" si="75">G438+J438</f>
        <v>250000</v>
      </c>
      <c r="G438" s="472">
        <f t="shared" si="70"/>
        <v>250000</v>
      </c>
      <c r="H438" s="491">
        <v>250000</v>
      </c>
      <c r="I438" s="491"/>
      <c r="J438" s="491"/>
      <c r="K438" s="491"/>
      <c r="L438" s="492"/>
      <c r="M438" s="491">
        <v>150000</v>
      </c>
      <c r="N438" s="491">
        <v>150000</v>
      </c>
      <c r="O438" s="466">
        <f t="shared" si="72"/>
        <v>150000</v>
      </c>
      <c r="P438" s="491"/>
      <c r="Q438" s="622" t="s">
        <v>1000</v>
      </c>
    </row>
    <row r="439" spans="1:19" ht="25.5" customHeight="1">
      <c r="A439" s="171"/>
      <c r="B439" s="174"/>
      <c r="C439" s="169" t="s">
        <v>786</v>
      </c>
      <c r="D439" s="490"/>
      <c r="E439" s="491">
        <v>250000</v>
      </c>
      <c r="F439" s="491">
        <f t="shared" si="75"/>
        <v>250000</v>
      </c>
      <c r="G439" s="472">
        <f t="shared" si="70"/>
        <v>250000</v>
      </c>
      <c r="H439" s="491">
        <v>250000</v>
      </c>
      <c r="I439" s="491"/>
      <c r="J439" s="491"/>
      <c r="K439" s="491"/>
      <c r="L439" s="492"/>
      <c r="M439" s="491">
        <v>150000</v>
      </c>
      <c r="N439" s="491">
        <v>150000</v>
      </c>
      <c r="O439" s="466">
        <f t="shared" si="72"/>
        <v>150000</v>
      </c>
      <c r="P439" s="491"/>
      <c r="Q439" s="622" t="s">
        <v>1000</v>
      </c>
    </row>
    <row r="440" spans="1:19" ht="36" customHeight="1">
      <c r="A440" s="171" t="s">
        <v>474</v>
      </c>
      <c r="B440" s="174"/>
      <c r="C440" s="169" t="s">
        <v>404</v>
      </c>
      <c r="D440" s="471">
        <f>D441+D444</f>
        <v>0</v>
      </c>
      <c r="E440" s="472">
        <f>E441+E444</f>
        <v>1296433.0880999998</v>
      </c>
      <c r="F440" s="491">
        <f t="shared" si="75"/>
        <v>1327423.0880999998</v>
      </c>
      <c r="G440" s="472">
        <f t="shared" si="70"/>
        <v>1296433.0880999998</v>
      </c>
      <c r="H440" s="472">
        <f>H441+H444</f>
        <v>1296433.0880999998</v>
      </c>
      <c r="I440" s="472">
        <f t="shared" ref="I440:K440" si="76">I441+I444</f>
        <v>0</v>
      </c>
      <c r="J440" s="472">
        <f t="shared" si="76"/>
        <v>30990</v>
      </c>
      <c r="K440" s="472">
        <f t="shared" si="76"/>
        <v>0</v>
      </c>
      <c r="L440" s="471"/>
      <c r="M440" s="472">
        <f>M441+M444</f>
        <v>1427990.6162999999</v>
      </c>
      <c r="N440" s="472">
        <f>N441+N444</f>
        <v>1427990.6162999999</v>
      </c>
      <c r="O440" s="466">
        <f t="shared" si="72"/>
        <v>1427990.6162999999</v>
      </c>
      <c r="P440" s="472"/>
      <c r="Q440" s="634"/>
    </row>
    <row r="441" spans="1:19" ht="24.75" customHeight="1">
      <c r="A441" s="171"/>
      <c r="B441" s="174"/>
      <c r="C441" s="169" t="s">
        <v>377</v>
      </c>
      <c r="D441" s="471"/>
      <c r="E441" s="472">
        <f>(E442+E443)</f>
        <v>1062913.3319999999</v>
      </c>
      <c r="F441" s="491">
        <f t="shared" si="75"/>
        <v>1093903.3319999999</v>
      </c>
      <c r="G441" s="472">
        <f t="shared" si="70"/>
        <v>1062913.3319999999</v>
      </c>
      <c r="H441" s="472">
        <f>(H442+H443)</f>
        <v>1062913.3319999999</v>
      </c>
      <c r="I441" s="472">
        <f t="shared" ref="I441:K441" si="77">(I442+I443)</f>
        <v>0</v>
      </c>
      <c r="J441" s="472">
        <f t="shared" si="77"/>
        <v>30990</v>
      </c>
      <c r="K441" s="472">
        <f t="shared" si="77"/>
        <v>0</v>
      </c>
      <c r="L441" s="471"/>
      <c r="M441" s="472">
        <f>(M442+M443)</f>
        <v>1172766.2963999999</v>
      </c>
      <c r="N441" s="472">
        <f>(N442+N443)</f>
        <v>1172766.2963999999</v>
      </c>
      <c r="O441" s="466">
        <f t="shared" si="72"/>
        <v>1172766.2963999999</v>
      </c>
      <c r="P441" s="472"/>
      <c r="Q441" s="622"/>
      <c r="R441" s="116">
        <f>G441+G464+G465+G483+G484</f>
        <v>1315177.0320000001</v>
      </c>
    </row>
    <row r="442" spans="1:19" ht="22.5" customHeight="1">
      <c r="A442" s="173"/>
      <c r="B442" s="174"/>
      <c r="C442" s="170" t="s">
        <v>1001</v>
      </c>
      <c r="D442" s="487">
        <f>47.9+1.502+0.6+1.2+4.683+0.2+0.3</f>
        <v>56.385000000000005</v>
      </c>
      <c r="E442" s="488">
        <f>D442*1300*12</f>
        <v>879606</v>
      </c>
      <c r="F442" s="488">
        <f t="shared" si="75"/>
        <v>910596</v>
      </c>
      <c r="G442" s="484">
        <f t="shared" si="70"/>
        <v>879606</v>
      </c>
      <c r="H442" s="488">
        <f>E442</f>
        <v>879606</v>
      </c>
      <c r="I442" s="488"/>
      <c r="J442" s="488">
        <v>30990</v>
      </c>
      <c r="K442" s="488"/>
      <c r="L442" s="489">
        <f>47.37+1.228+1.2+5.249+0.2+0.3+0.8+1.86+0.1</f>
        <v>58.307000000000002</v>
      </c>
      <c r="M442" s="488">
        <f>L442*1390*12</f>
        <v>972560.76</v>
      </c>
      <c r="N442" s="488">
        <f>M442</f>
        <v>972560.76</v>
      </c>
      <c r="O442" s="470">
        <f t="shared" si="72"/>
        <v>972560.76</v>
      </c>
      <c r="P442" s="488"/>
      <c r="Q442" s="645"/>
      <c r="R442" s="341">
        <f>G444</f>
        <v>233519.75609999997</v>
      </c>
      <c r="S442" s="116">
        <f>R442</f>
        <v>233519.75609999997</v>
      </c>
    </row>
    <row r="443" spans="1:19" ht="22.5" customHeight="1">
      <c r="A443" s="171"/>
      <c r="B443" s="174"/>
      <c r="C443" s="170" t="s">
        <v>733</v>
      </c>
      <c r="D443" s="487">
        <f>(47.9+1.502+0.6)*23.5%</f>
        <v>11.75047</v>
      </c>
      <c r="E443" s="488">
        <f>D443*1300*12</f>
        <v>183307.33199999999</v>
      </c>
      <c r="F443" s="488">
        <f t="shared" si="75"/>
        <v>183307.33199999999</v>
      </c>
      <c r="G443" s="484">
        <f t="shared" si="70"/>
        <v>183307.33199999999</v>
      </c>
      <c r="H443" s="488">
        <f>E443</f>
        <v>183307.33199999999</v>
      </c>
      <c r="I443" s="488"/>
      <c r="J443" s="488"/>
      <c r="K443" s="488"/>
      <c r="L443" s="489">
        <f>(47.37+1.228+0.8+1.86)*23.5%-(3.99+0.3)*1%</f>
        <v>12.002729999999998</v>
      </c>
      <c r="M443" s="488">
        <f>L443*1390*12</f>
        <v>200205.53639999998</v>
      </c>
      <c r="N443" s="488">
        <f>M443</f>
        <v>200205.53639999998</v>
      </c>
      <c r="O443" s="470">
        <f t="shared" si="72"/>
        <v>200205.53639999998</v>
      </c>
      <c r="P443" s="488"/>
      <c r="Q443" s="622"/>
      <c r="R443" s="116">
        <f>(G464+G465)*20/80</f>
        <v>45192.03</v>
      </c>
      <c r="S443" s="116">
        <f>G469-R443</f>
        <v>96120.421500000026</v>
      </c>
    </row>
    <row r="444" spans="1:19" ht="21.75" customHeight="1">
      <c r="A444" s="171"/>
      <c r="B444" s="174"/>
      <c r="C444" s="169" t="s">
        <v>796</v>
      </c>
      <c r="D444" s="490"/>
      <c r="E444" s="491">
        <f>(D442+D443)*1210*12*20/80-13812</f>
        <v>233519.75609999997</v>
      </c>
      <c r="F444" s="491">
        <f t="shared" si="75"/>
        <v>233519.75609999997</v>
      </c>
      <c r="G444" s="472">
        <f>H444+I444</f>
        <v>233519.75609999997</v>
      </c>
      <c r="H444" s="491">
        <f>E444</f>
        <v>233519.75609999997</v>
      </c>
      <c r="I444" s="491"/>
      <c r="J444" s="491"/>
      <c r="K444" s="491"/>
      <c r="L444" s="492"/>
      <c r="M444" s="491">
        <f>(L442+L443)*20/80*1210*12</f>
        <v>255224.3199</v>
      </c>
      <c r="N444" s="491">
        <f>M444</f>
        <v>255224.3199</v>
      </c>
      <c r="O444" s="466">
        <f t="shared" si="72"/>
        <v>255224.3199</v>
      </c>
      <c r="P444" s="491"/>
      <c r="Q444" s="622"/>
      <c r="R444" s="116">
        <f>(G486+G487)*20/80</f>
        <v>49821.33</v>
      </c>
      <c r="S444" s="116">
        <f>G488-R444</f>
        <v>13187.302499999991</v>
      </c>
    </row>
    <row r="445" spans="1:19" ht="21.75" customHeight="1">
      <c r="A445" s="171" t="s">
        <v>475</v>
      </c>
      <c r="B445" s="174"/>
      <c r="C445" s="169" t="s">
        <v>380</v>
      </c>
      <c r="D445" s="471">
        <f>(D446)+D451+D452+D455+D457</f>
        <v>0</v>
      </c>
      <c r="E445" s="472" t="e">
        <f>(E446)+E451+E452+E455+E457</f>
        <v>#REF!</v>
      </c>
      <c r="F445" s="491">
        <f t="shared" si="75"/>
        <v>289500</v>
      </c>
      <c r="G445" s="472">
        <f t="shared" si="70"/>
        <v>289500</v>
      </c>
      <c r="H445" s="472">
        <f>(H446)+H451+H452+H455+H457</f>
        <v>199500</v>
      </c>
      <c r="I445" s="472">
        <f>(I446)+I451+I452+I455+I457</f>
        <v>90000</v>
      </c>
      <c r="J445" s="472"/>
      <c r="K445" s="472"/>
      <c r="L445" s="471"/>
      <c r="M445" s="472">
        <f>(M446)+M451+M452+M455+M457</f>
        <v>348000</v>
      </c>
      <c r="N445" s="472">
        <f>(N446)+N451+N452+N455+N457</f>
        <v>348000</v>
      </c>
      <c r="O445" s="466">
        <f t="shared" si="72"/>
        <v>348000</v>
      </c>
      <c r="P445" s="472"/>
      <c r="Q445" s="646"/>
      <c r="S445" s="116">
        <f>SUM(S442:S444)</f>
        <v>342827.48009999999</v>
      </c>
    </row>
    <row r="446" spans="1:19" ht="24" customHeight="1">
      <c r="A446" s="171"/>
      <c r="B446" s="174"/>
      <c r="C446" s="169" t="s">
        <v>476</v>
      </c>
      <c r="D446" s="471">
        <f>SUM(D447:D448)</f>
        <v>0</v>
      </c>
      <c r="E446" s="472">
        <f>SUM(E447:E448)</f>
        <v>69500</v>
      </c>
      <c r="F446" s="491">
        <f t="shared" si="75"/>
        <v>69500</v>
      </c>
      <c r="G446" s="472">
        <f t="shared" si="70"/>
        <v>69500</v>
      </c>
      <c r="H446" s="472">
        <f>SUM(H447:H448)</f>
        <v>69500</v>
      </c>
      <c r="I446" s="472">
        <f>SUM(I447:I448)</f>
        <v>0</v>
      </c>
      <c r="J446" s="472">
        <f>SUM(J447:J448)</f>
        <v>0</v>
      </c>
      <c r="K446" s="472">
        <f>SUM(K447:K448)</f>
        <v>0</v>
      </c>
      <c r="L446" s="471">
        <f>SUM(L447:L448)</f>
        <v>0</v>
      </c>
      <c r="M446" s="472">
        <f>SUM(M447:M450)</f>
        <v>128000</v>
      </c>
      <c r="N446" s="472">
        <f>SUM(N447:N450)</f>
        <v>128000</v>
      </c>
      <c r="O446" s="472">
        <f t="shared" ref="O446" si="78">SUM(O447:O450)</f>
        <v>128000</v>
      </c>
      <c r="P446" s="472"/>
      <c r="Q446" s="646"/>
    </row>
    <row r="447" spans="1:19" ht="33" customHeight="1">
      <c r="A447" s="171"/>
      <c r="B447" s="174"/>
      <c r="C447" s="170" t="s">
        <v>1002</v>
      </c>
      <c r="D447" s="490"/>
      <c r="E447" s="488">
        <f>5000+4500+36000</f>
        <v>45500</v>
      </c>
      <c r="F447" s="488">
        <f t="shared" si="75"/>
        <v>45500</v>
      </c>
      <c r="G447" s="484">
        <f t="shared" ref="G447:G495" si="79">H447+I447</f>
        <v>45500</v>
      </c>
      <c r="H447" s="488">
        <v>45500</v>
      </c>
      <c r="I447" s="488"/>
      <c r="J447" s="488"/>
      <c r="K447" s="488"/>
      <c r="L447" s="490"/>
      <c r="M447" s="488">
        <f>5000+4500+11*4000</f>
        <v>53500</v>
      </c>
      <c r="N447" s="488">
        <f>M447</f>
        <v>53500</v>
      </c>
      <c r="O447" s="470">
        <f t="shared" si="72"/>
        <v>53500</v>
      </c>
      <c r="P447" s="488"/>
      <c r="Q447" s="647"/>
      <c r="S447" s="116">
        <v>4000</v>
      </c>
    </row>
    <row r="448" spans="1:19" ht="16.5">
      <c r="A448" s="171"/>
      <c r="B448" s="201">
        <f>56+3</f>
        <v>59</v>
      </c>
      <c r="C448" s="170" t="s">
        <v>1003</v>
      </c>
      <c r="D448" s="490"/>
      <c r="E448" s="488">
        <v>24000</v>
      </c>
      <c r="F448" s="488">
        <f t="shared" si="75"/>
        <v>24000</v>
      </c>
      <c r="G448" s="484">
        <f t="shared" si="79"/>
        <v>24000</v>
      </c>
      <c r="H448" s="488">
        <f>E448</f>
        <v>24000</v>
      </c>
      <c r="I448" s="488"/>
      <c r="J448" s="488"/>
      <c r="K448" s="488"/>
      <c r="L448" s="490"/>
      <c r="M448" s="488">
        <v>36000</v>
      </c>
      <c r="N448" s="488">
        <v>36000</v>
      </c>
      <c r="O448" s="470">
        <f t="shared" si="72"/>
        <v>36000</v>
      </c>
      <c r="P448" s="488"/>
      <c r="Q448" s="622"/>
    </row>
    <row r="449" spans="1:18" ht="16.5">
      <c r="A449" s="171"/>
      <c r="B449" s="201"/>
      <c r="C449" s="170" t="s">
        <v>1004</v>
      </c>
      <c r="D449" s="490"/>
      <c r="E449" s="488"/>
      <c r="F449" s="488"/>
      <c r="G449" s="484"/>
      <c r="H449" s="488"/>
      <c r="I449" s="488"/>
      <c r="J449" s="488"/>
      <c r="K449" s="488"/>
      <c r="L449" s="490"/>
      <c r="M449" s="488">
        <f>22000</f>
        <v>22000</v>
      </c>
      <c r="N449" s="488">
        <v>22000</v>
      </c>
      <c r="O449" s="470">
        <f t="shared" si="72"/>
        <v>22000</v>
      </c>
      <c r="P449" s="488"/>
      <c r="Q449" s="622"/>
    </row>
    <row r="450" spans="1:18" ht="30">
      <c r="A450" s="171"/>
      <c r="B450" s="201"/>
      <c r="C450" s="170" t="s">
        <v>1005</v>
      </c>
      <c r="D450" s="490"/>
      <c r="E450" s="488"/>
      <c r="F450" s="488"/>
      <c r="G450" s="484"/>
      <c r="H450" s="488"/>
      <c r="I450" s="488"/>
      <c r="J450" s="488"/>
      <c r="K450" s="488"/>
      <c r="L450" s="490"/>
      <c r="M450" s="488">
        <f>11*300*5</f>
        <v>16500</v>
      </c>
      <c r="N450" s="488">
        <f>M450</f>
        <v>16500</v>
      </c>
      <c r="O450" s="470">
        <f>N450</f>
        <v>16500</v>
      </c>
      <c r="P450" s="488"/>
      <c r="Q450" s="622"/>
    </row>
    <row r="451" spans="1:18" ht="72" customHeight="1">
      <c r="A451" s="171"/>
      <c r="B451" s="201"/>
      <c r="C451" s="169" t="s">
        <v>1006</v>
      </c>
      <c r="D451" s="490"/>
      <c r="E451" s="491">
        <v>100000</v>
      </c>
      <c r="F451" s="491">
        <f t="shared" si="75"/>
        <v>100000</v>
      </c>
      <c r="G451" s="472">
        <f t="shared" si="79"/>
        <v>100000</v>
      </c>
      <c r="H451" s="491">
        <v>50000</v>
      </c>
      <c r="I451" s="491">
        <v>50000</v>
      </c>
      <c r="J451" s="491"/>
      <c r="K451" s="491"/>
      <c r="L451" s="492"/>
      <c r="M451" s="491">
        <v>100000</v>
      </c>
      <c r="N451" s="491">
        <v>100000</v>
      </c>
      <c r="O451" s="466">
        <f t="shared" ref="O451:O510" si="80">N451</f>
        <v>100000</v>
      </c>
      <c r="P451" s="491"/>
      <c r="Q451" s="357" t="s">
        <v>1007</v>
      </c>
    </row>
    <row r="452" spans="1:18" ht="28.5">
      <c r="A452" s="171"/>
      <c r="B452" s="201"/>
      <c r="C452" s="169" t="s">
        <v>1174</v>
      </c>
      <c r="D452" s="490"/>
      <c r="E452" s="464">
        <f>E453+E454</f>
        <v>30000</v>
      </c>
      <c r="F452" s="491">
        <f t="shared" si="75"/>
        <v>30000</v>
      </c>
      <c r="G452" s="472">
        <f t="shared" si="79"/>
        <v>30000</v>
      </c>
      <c r="H452" s="491">
        <v>20000</v>
      </c>
      <c r="I452" s="491">
        <v>10000</v>
      </c>
      <c r="J452" s="491"/>
      <c r="K452" s="491"/>
      <c r="L452" s="492"/>
      <c r="M452" s="491">
        <v>30000</v>
      </c>
      <c r="N452" s="491">
        <v>30000</v>
      </c>
      <c r="O452" s="466">
        <f t="shared" si="80"/>
        <v>30000</v>
      </c>
      <c r="P452" s="491"/>
      <c r="Q452" s="622"/>
    </row>
    <row r="453" spans="1:18" ht="16.5">
      <c r="A453" s="171"/>
      <c r="B453" s="201"/>
      <c r="C453" s="170" t="s">
        <v>1175</v>
      </c>
      <c r="D453" s="490"/>
      <c r="E453" s="488">
        <v>18000</v>
      </c>
      <c r="F453" s="488">
        <f t="shared" si="75"/>
        <v>0</v>
      </c>
      <c r="G453" s="484">
        <f t="shared" si="79"/>
        <v>0</v>
      </c>
      <c r="H453" s="488"/>
      <c r="I453" s="488"/>
      <c r="J453" s="488"/>
      <c r="K453" s="488"/>
      <c r="L453" s="490"/>
      <c r="M453" s="488">
        <v>15000</v>
      </c>
      <c r="N453" s="488">
        <v>15000</v>
      </c>
      <c r="O453" s="470">
        <f t="shared" si="80"/>
        <v>15000</v>
      </c>
      <c r="P453" s="488"/>
      <c r="Q453" s="622"/>
    </row>
    <row r="454" spans="1:18" ht="16.5">
      <c r="A454" s="171"/>
      <c r="B454" s="201"/>
      <c r="C454" s="170" t="s">
        <v>1176</v>
      </c>
      <c r="D454" s="490"/>
      <c r="E454" s="488">
        <v>12000</v>
      </c>
      <c r="F454" s="488">
        <f t="shared" si="75"/>
        <v>0</v>
      </c>
      <c r="G454" s="484">
        <f t="shared" si="79"/>
        <v>0</v>
      </c>
      <c r="H454" s="488"/>
      <c r="I454" s="488"/>
      <c r="J454" s="488"/>
      <c r="K454" s="488"/>
      <c r="L454" s="490"/>
      <c r="M454" s="488">
        <v>15000</v>
      </c>
      <c r="N454" s="488">
        <v>15000</v>
      </c>
      <c r="O454" s="470">
        <f t="shared" ref="O454" si="81">N454</f>
        <v>15000</v>
      </c>
      <c r="P454" s="488"/>
      <c r="Q454" s="622"/>
    </row>
    <row r="455" spans="1:18" ht="16.5">
      <c r="A455" s="171"/>
      <c r="B455" s="201"/>
      <c r="C455" s="169" t="s">
        <v>228</v>
      </c>
      <c r="D455" s="490"/>
      <c r="E455" s="464" t="e">
        <f>E456+#REF!</f>
        <v>#REF!</v>
      </c>
      <c r="F455" s="491">
        <f t="shared" si="75"/>
        <v>40000</v>
      </c>
      <c r="G455" s="472">
        <f t="shared" si="79"/>
        <v>40000</v>
      </c>
      <c r="H455" s="491">
        <f>H456</f>
        <v>30000</v>
      </c>
      <c r="I455" s="491">
        <f>I456</f>
        <v>10000</v>
      </c>
      <c r="J455" s="491"/>
      <c r="K455" s="491"/>
      <c r="L455" s="492"/>
      <c r="M455" s="491">
        <v>40000</v>
      </c>
      <c r="N455" s="491">
        <v>40000</v>
      </c>
      <c r="O455" s="466">
        <f t="shared" si="80"/>
        <v>40000</v>
      </c>
      <c r="P455" s="491"/>
      <c r="Q455" s="622"/>
    </row>
    <row r="456" spans="1:18" ht="16.5">
      <c r="A456" s="171"/>
      <c r="B456" s="201"/>
      <c r="C456" s="170" t="s">
        <v>273</v>
      </c>
      <c r="D456" s="490"/>
      <c r="E456" s="488">
        <v>50000</v>
      </c>
      <c r="F456" s="488">
        <f t="shared" si="75"/>
        <v>40000</v>
      </c>
      <c r="G456" s="484">
        <f t="shared" si="79"/>
        <v>40000</v>
      </c>
      <c r="H456" s="488">
        <v>30000</v>
      </c>
      <c r="I456" s="488">
        <v>10000</v>
      </c>
      <c r="J456" s="488"/>
      <c r="K456" s="488"/>
      <c r="L456" s="490"/>
      <c r="M456" s="488">
        <v>40000</v>
      </c>
      <c r="N456" s="488">
        <v>40000</v>
      </c>
      <c r="O456" s="470">
        <f t="shared" si="80"/>
        <v>40000</v>
      </c>
      <c r="P456" s="488"/>
      <c r="Q456" s="622"/>
    </row>
    <row r="457" spans="1:18" ht="16.5">
      <c r="A457" s="171"/>
      <c r="B457" s="174"/>
      <c r="C457" s="169" t="s">
        <v>285</v>
      </c>
      <c r="D457" s="490"/>
      <c r="E457" s="464">
        <f>E458+E459</f>
        <v>50000</v>
      </c>
      <c r="F457" s="491">
        <f t="shared" si="75"/>
        <v>50000</v>
      </c>
      <c r="G457" s="472">
        <f t="shared" si="79"/>
        <v>50000</v>
      </c>
      <c r="H457" s="491">
        <f>H458+H459</f>
        <v>30000</v>
      </c>
      <c r="I457" s="491">
        <f>I458+I459</f>
        <v>20000</v>
      </c>
      <c r="J457" s="491"/>
      <c r="K457" s="491"/>
      <c r="L457" s="492"/>
      <c r="M457" s="491">
        <v>50000</v>
      </c>
      <c r="N457" s="491">
        <v>50000</v>
      </c>
      <c r="O457" s="466">
        <f t="shared" si="80"/>
        <v>50000</v>
      </c>
      <c r="P457" s="491"/>
      <c r="Q457" s="622"/>
    </row>
    <row r="458" spans="1:18" ht="16.5">
      <c r="A458" s="171"/>
      <c r="B458" s="174"/>
      <c r="C458" s="170" t="s">
        <v>197</v>
      </c>
      <c r="D458" s="490"/>
      <c r="E458" s="461">
        <v>40000</v>
      </c>
      <c r="F458" s="488">
        <f t="shared" si="75"/>
        <v>40000</v>
      </c>
      <c r="G458" s="484">
        <f t="shared" si="79"/>
        <v>40000</v>
      </c>
      <c r="H458" s="488">
        <v>20000</v>
      </c>
      <c r="I458" s="488">
        <v>20000</v>
      </c>
      <c r="J458" s="488"/>
      <c r="K458" s="488"/>
      <c r="L458" s="490"/>
      <c r="M458" s="488">
        <v>40000</v>
      </c>
      <c r="N458" s="488">
        <v>40000</v>
      </c>
      <c r="O458" s="470">
        <f t="shared" si="80"/>
        <v>40000</v>
      </c>
      <c r="P458" s="488"/>
      <c r="Q458" s="622"/>
    </row>
    <row r="459" spans="1:18" ht="16.5">
      <c r="A459" s="171"/>
      <c r="B459" s="174"/>
      <c r="C459" s="170" t="s">
        <v>471</v>
      </c>
      <c r="D459" s="490"/>
      <c r="E459" s="461">
        <v>10000</v>
      </c>
      <c r="F459" s="488">
        <f t="shared" si="75"/>
        <v>10000</v>
      </c>
      <c r="G459" s="484">
        <f t="shared" si="79"/>
        <v>10000</v>
      </c>
      <c r="H459" s="488">
        <v>10000</v>
      </c>
      <c r="I459" s="488"/>
      <c r="J459" s="488"/>
      <c r="K459" s="488"/>
      <c r="L459" s="490"/>
      <c r="M459" s="488">
        <v>10000</v>
      </c>
      <c r="N459" s="488">
        <v>10000</v>
      </c>
      <c r="O459" s="470">
        <f t="shared" si="80"/>
        <v>10000</v>
      </c>
      <c r="P459" s="488"/>
      <c r="Q459" s="622"/>
    </row>
    <row r="460" spans="1:18" ht="18.75">
      <c r="A460" s="534">
        <v>9</v>
      </c>
      <c r="B460" s="535"/>
      <c r="C460" s="536" t="s">
        <v>286</v>
      </c>
      <c r="D460" s="481">
        <f t="shared" ref="D460:E460" si="82">(D462+D469+D470)</f>
        <v>0</v>
      </c>
      <c r="E460" s="482">
        <f t="shared" si="82"/>
        <v>845105.63150000013</v>
      </c>
      <c r="F460" s="482">
        <f>(F462+F469+F470)</f>
        <v>811545.63150000013</v>
      </c>
      <c r="G460" s="472">
        <f>H460+I460</f>
        <v>790105.63150000013</v>
      </c>
      <c r="H460" s="472">
        <f>(H462+H469+H470)</f>
        <v>790105.63150000013</v>
      </c>
      <c r="I460" s="472">
        <f t="shared" ref="I460:J460" si="83">(I462+I469+I470)</f>
        <v>0</v>
      </c>
      <c r="J460" s="472">
        <f t="shared" si="83"/>
        <v>21440</v>
      </c>
      <c r="K460" s="472"/>
      <c r="L460" s="471"/>
      <c r="M460" s="472">
        <f>(M462+M469+M470)</f>
        <v>950933.68650000007</v>
      </c>
      <c r="N460" s="472">
        <f>(N462+N469+N470)</f>
        <v>950933.68650000007</v>
      </c>
      <c r="O460" s="466">
        <f t="shared" si="80"/>
        <v>950933.68650000007</v>
      </c>
      <c r="P460" s="472"/>
      <c r="Q460" s="622"/>
    </row>
    <row r="461" spans="1:18" ht="16.5">
      <c r="A461" s="171"/>
      <c r="B461" s="174"/>
      <c r="C461" s="169" t="s">
        <v>472</v>
      </c>
      <c r="D461" s="490"/>
      <c r="E461" s="491">
        <v>100000</v>
      </c>
      <c r="F461" s="491">
        <f>G461+J461</f>
        <v>100000</v>
      </c>
      <c r="G461" s="472">
        <f t="shared" si="79"/>
        <v>100000</v>
      </c>
      <c r="H461" s="491">
        <v>100000</v>
      </c>
      <c r="I461" s="491"/>
      <c r="J461" s="491"/>
      <c r="K461" s="491"/>
      <c r="L461" s="492"/>
      <c r="M461" s="491">
        <v>100000</v>
      </c>
      <c r="N461" s="491">
        <v>100000</v>
      </c>
      <c r="O461" s="466">
        <f t="shared" si="80"/>
        <v>100000</v>
      </c>
      <c r="P461" s="491"/>
      <c r="Q461" s="622"/>
    </row>
    <row r="462" spans="1:18" s="215" customFormat="1" ht="18.75">
      <c r="A462" s="171" t="s">
        <v>477</v>
      </c>
      <c r="B462" s="174"/>
      <c r="C462" s="169" t="s">
        <v>377</v>
      </c>
      <c r="D462" s="490"/>
      <c r="E462" s="464">
        <f>SUM(E463:E468)</f>
        <v>607293.18000000017</v>
      </c>
      <c r="F462" s="464">
        <f>SUM(F463:F468)</f>
        <v>628733.18000000017</v>
      </c>
      <c r="G462" s="472">
        <f t="shared" si="79"/>
        <v>607293.18000000017</v>
      </c>
      <c r="H462" s="464">
        <f>SUM(H463:H468)</f>
        <v>607293.18000000017</v>
      </c>
      <c r="I462" s="464">
        <f t="shared" ref="I462:J462" si="84">SUM(I463:I468)</f>
        <v>0</v>
      </c>
      <c r="J462" s="464">
        <f t="shared" si="84"/>
        <v>21440</v>
      </c>
      <c r="K462" s="464"/>
      <c r="L462" s="492"/>
      <c r="M462" s="464">
        <f>SUM(M463:M468)</f>
        <v>662932.42200000002</v>
      </c>
      <c r="N462" s="464">
        <f>SUM(N463:N468)</f>
        <v>662932.42200000002</v>
      </c>
      <c r="O462" s="466">
        <f t="shared" si="80"/>
        <v>662932.42200000002</v>
      </c>
      <c r="P462" s="464"/>
      <c r="Q462" s="622"/>
    </row>
    <row r="463" spans="1:18" s="215" customFormat="1" ht="18.75">
      <c r="A463" s="171"/>
      <c r="B463" s="174"/>
      <c r="C463" s="169" t="s">
        <v>478</v>
      </c>
      <c r="D463" s="490"/>
      <c r="E463" s="537"/>
      <c r="F463" s="537"/>
      <c r="G463" s="484">
        <f t="shared" si="79"/>
        <v>0</v>
      </c>
      <c r="H463" s="537"/>
      <c r="I463" s="537"/>
      <c r="J463" s="537"/>
      <c r="K463" s="537"/>
      <c r="L463" s="490"/>
      <c r="M463" s="537"/>
      <c r="N463" s="537"/>
      <c r="O463" s="470">
        <f t="shared" si="80"/>
        <v>0</v>
      </c>
      <c r="P463" s="537"/>
      <c r="Q463" s="622"/>
      <c r="R463" s="215">
        <f>(5550-250)/2</f>
        <v>2650</v>
      </c>
    </row>
    <row r="464" spans="1:18" ht="16.5">
      <c r="A464" s="171"/>
      <c r="B464" s="174"/>
      <c r="C464" s="170" t="s">
        <v>479</v>
      </c>
      <c r="D464" s="489">
        <f>7.32+0.5+0.2+1.73</f>
        <v>9.75</v>
      </c>
      <c r="E464" s="488">
        <f>D464*1300*12</f>
        <v>152100</v>
      </c>
      <c r="F464" s="488">
        <f>G464+J464</f>
        <v>173540</v>
      </c>
      <c r="G464" s="484">
        <f t="shared" si="79"/>
        <v>152100</v>
      </c>
      <c r="H464" s="488">
        <f t="shared" ref="H464:H469" si="85">E464</f>
        <v>152100</v>
      </c>
      <c r="I464" s="488"/>
      <c r="J464" s="488">
        <v>21440</v>
      </c>
      <c r="K464" s="488"/>
      <c r="L464" s="489">
        <f>7.65+0.5+0.2+1.73</f>
        <v>10.08</v>
      </c>
      <c r="M464" s="488">
        <f>L464*1390*12</f>
        <v>168134.40000000002</v>
      </c>
      <c r="N464" s="488">
        <f>M464</f>
        <v>168134.40000000002</v>
      </c>
      <c r="O464" s="470">
        <f t="shared" si="80"/>
        <v>168134.40000000002</v>
      </c>
      <c r="P464" s="488"/>
      <c r="Q464" s="645"/>
    </row>
    <row r="465" spans="1:17" ht="16.5">
      <c r="A465" s="171"/>
      <c r="B465" s="216"/>
      <c r="C465" s="170" t="s">
        <v>733</v>
      </c>
      <c r="D465" s="489">
        <f>(7.32+0.5)*23.5%</f>
        <v>1.8376999999999999</v>
      </c>
      <c r="E465" s="488">
        <f>D465*1300*12</f>
        <v>28668.119999999995</v>
      </c>
      <c r="F465" s="488">
        <f t="shared" ref="F465:F472" si="86">G465+J465</f>
        <v>28668.119999999995</v>
      </c>
      <c r="G465" s="484">
        <f t="shared" si="79"/>
        <v>28668.119999999995</v>
      </c>
      <c r="H465" s="488">
        <f t="shared" si="85"/>
        <v>28668.119999999995</v>
      </c>
      <c r="I465" s="488"/>
      <c r="J465" s="488"/>
      <c r="K465" s="488"/>
      <c r="L465" s="489">
        <f>(7.65+0.5)*23.5%</f>
        <v>1.9152499999999999</v>
      </c>
      <c r="M465" s="488">
        <f>L465*1390*12</f>
        <v>31946.369999999995</v>
      </c>
      <c r="N465" s="488">
        <f>M465</f>
        <v>31946.369999999995</v>
      </c>
      <c r="O465" s="470">
        <f t="shared" si="80"/>
        <v>31946.369999999995</v>
      </c>
      <c r="P465" s="488"/>
      <c r="Q465" s="622"/>
    </row>
    <row r="466" spans="1:17" ht="16.5">
      <c r="A466" s="171"/>
      <c r="B466" s="216"/>
      <c r="C466" s="169" t="s">
        <v>480</v>
      </c>
      <c r="D466" s="489"/>
      <c r="E466" s="488">
        <f>D466*1300*12</f>
        <v>0</v>
      </c>
      <c r="F466" s="488">
        <f t="shared" si="86"/>
        <v>0</v>
      </c>
      <c r="G466" s="484">
        <f t="shared" si="79"/>
        <v>0</v>
      </c>
      <c r="H466" s="488">
        <f t="shared" si="85"/>
        <v>0</v>
      </c>
      <c r="I466" s="488"/>
      <c r="J466" s="488"/>
      <c r="K466" s="488"/>
      <c r="L466" s="490"/>
      <c r="M466" s="488"/>
      <c r="N466" s="488"/>
      <c r="O466" s="470">
        <f t="shared" si="80"/>
        <v>0</v>
      </c>
      <c r="P466" s="488"/>
      <c r="Q466" s="622"/>
    </row>
    <row r="467" spans="1:17" ht="16.5">
      <c r="A467" s="171"/>
      <c r="B467" s="216"/>
      <c r="C467" s="170" t="s">
        <v>481</v>
      </c>
      <c r="D467" s="489">
        <f>18.41+3+0.7+0.1+0.1</f>
        <v>22.310000000000002</v>
      </c>
      <c r="E467" s="488">
        <f>D467*1300*12</f>
        <v>348036.00000000006</v>
      </c>
      <c r="F467" s="488">
        <f t="shared" si="86"/>
        <v>348036.00000000006</v>
      </c>
      <c r="G467" s="484">
        <f t="shared" si="79"/>
        <v>348036.00000000006</v>
      </c>
      <c r="H467" s="488">
        <f t="shared" si="85"/>
        <v>348036.00000000006</v>
      </c>
      <c r="I467" s="488"/>
      <c r="J467" s="488"/>
      <c r="K467" s="488"/>
      <c r="L467" s="489">
        <f>21.74+0.8+0.1</f>
        <v>22.64</v>
      </c>
      <c r="M467" s="488">
        <f>L467*1390*12</f>
        <v>377635.2</v>
      </c>
      <c r="N467" s="488">
        <f>M467</f>
        <v>377635.2</v>
      </c>
      <c r="O467" s="470">
        <f t="shared" si="80"/>
        <v>377635.2</v>
      </c>
      <c r="P467" s="488"/>
      <c r="Q467" s="622"/>
    </row>
    <row r="468" spans="1:17" ht="16.5">
      <c r="A468" s="171"/>
      <c r="B468" s="216"/>
      <c r="C468" s="170" t="s">
        <v>733</v>
      </c>
      <c r="D468" s="489">
        <f>(18.41+3)*23.5%</f>
        <v>5.0313499999999998</v>
      </c>
      <c r="E468" s="488">
        <f>D468*1300*12</f>
        <v>78489.06</v>
      </c>
      <c r="F468" s="488">
        <f t="shared" si="86"/>
        <v>78489.06</v>
      </c>
      <c r="G468" s="484">
        <f t="shared" si="79"/>
        <v>78489.06</v>
      </c>
      <c r="H468" s="488">
        <f t="shared" si="85"/>
        <v>78489.06</v>
      </c>
      <c r="I468" s="488"/>
      <c r="J468" s="488"/>
      <c r="K468" s="488"/>
      <c r="L468" s="489">
        <f>21.74*23.5%</f>
        <v>5.1088999999999993</v>
      </c>
      <c r="M468" s="488">
        <f>L468*1390*12</f>
        <v>85216.45199999999</v>
      </c>
      <c r="N468" s="488">
        <f>M468</f>
        <v>85216.45199999999</v>
      </c>
      <c r="O468" s="470">
        <f t="shared" si="80"/>
        <v>85216.45199999999</v>
      </c>
      <c r="P468" s="488"/>
      <c r="Q468" s="622"/>
    </row>
    <row r="469" spans="1:17" ht="16.5">
      <c r="A469" s="171" t="s">
        <v>482</v>
      </c>
      <c r="B469" s="174"/>
      <c r="C469" s="169" t="s">
        <v>732</v>
      </c>
      <c r="D469" s="490"/>
      <c r="E469" s="491">
        <f>(D464+D465+D467+D468)*1210*20/80*12</f>
        <v>141312.45150000002</v>
      </c>
      <c r="F469" s="491">
        <f t="shared" si="86"/>
        <v>141312.45150000002</v>
      </c>
      <c r="G469" s="472">
        <f t="shared" si="79"/>
        <v>141312.45150000002</v>
      </c>
      <c r="H469" s="491">
        <f t="shared" si="85"/>
        <v>141312.45150000002</v>
      </c>
      <c r="I469" s="491"/>
      <c r="J469" s="491"/>
      <c r="K469" s="491"/>
      <c r="L469" s="492"/>
      <c r="M469" s="491">
        <f>(L464+L465+L467+L468)*20/80*1210*12</f>
        <v>144271.26449999999</v>
      </c>
      <c r="N469" s="491">
        <f>M469</f>
        <v>144271.26449999999</v>
      </c>
      <c r="O469" s="466">
        <f t="shared" si="80"/>
        <v>144271.26449999999</v>
      </c>
      <c r="P469" s="491"/>
      <c r="Q469" s="622"/>
    </row>
    <row r="470" spans="1:17" ht="16.5">
      <c r="A470" s="171" t="s">
        <v>483</v>
      </c>
      <c r="B470" s="174"/>
      <c r="C470" s="169" t="s">
        <v>380</v>
      </c>
      <c r="D470" s="471">
        <f>SUM(D472:D474)</f>
        <v>0</v>
      </c>
      <c r="E470" s="472">
        <f>E471+E475</f>
        <v>96500</v>
      </c>
      <c r="F470" s="491">
        <f t="shared" si="86"/>
        <v>41500</v>
      </c>
      <c r="G470" s="472">
        <f t="shared" si="79"/>
        <v>41500</v>
      </c>
      <c r="H470" s="472">
        <f>H471+H475</f>
        <v>41500</v>
      </c>
      <c r="I470" s="472">
        <f t="shared" ref="I470:N470" si="87">I471+I475</f>
        <v>0</v>
      </c>
      <c r="J470" s="472">
        <f t="shared" si="87"/>
        <v>0</v>
      </c>
      <c r="K470" s="472">
        <f t="shared" si="87"/>
        <v>0</v>
      </c>
      <c r="L470" s="471">
        <f t="shared" si="87"/>
        <v>0</v>
      </c>
      <c r="M470" s="472">
        <f t="shared" si="87"/>
        <v>143730</v>
      </c>
      <c r="N470" s="472">
        <f t="shared" si="87"/>
        <v>143730</v>
      </c>
      <c r="O470" s="466">
        <f t="shared" si="80"/>
        <v>143730</v>
      </c>
      <c r="P470" s="472"/>
      <c r="Q470" s="622"/>
    </row>
    <row r="471" spans="1:17" ht="16.5">
      <c r="A471" s="171" t="s">
        <v>484</v>
      </c>
      <c r="B471" s="174"/>
      <c r="C471" s="169" t="s">
        <v>485</v>
      </c>
      <c r="D471" s="471"/>
      <c r="E471" s="472">
        <f>SUM(E472:E474)</f>
        <v>76500</v>
      </c>
      <c r="F471" s="491">
        <f t="shared" si="86"/>
        <v>41500</v>
      </c>
      <c r="G471" s="472">
        <f t="shared" si="79"/>
        <v>41500</v>
      </c>
      <c r="H471" s="472">
        <f>SUM(H472:H474)</f>
        <v>41500</v>
      </c>
      <c r="I471" s="472">
        <f t="shared" ref="I471:L471" si="88">SUM(I472:I474)</f>
        <v>0</v>
      </c>
      <c r="J471" s="472">
        <f t="shared" si="88"/>
        <v>0</v>
      </c>
      <c r="K471" s="472">
        <f t="shared" si="88"/>
        <v>0</v>
      </c>
      <c r="L471" s="471">
        <f t="shared" si="88"/>
        <v>0</v>
      </c>
      <c r="M471" s="472">
        <f>SUM(M472:M474)</f>
        <v>76500</v>
      </c>
      <c r="N471" s="472">
        <f>SUM(N472:N474)</f>
        <v>76500</v>
      </c>
      <c r="O471" s="466">
        <f t="shared" si="80"/>
        <v>76500</v>
      </c>
      <c r="P471" s="472"/>
      <c r="Q471" s="622"/>
    </row>
    <row r="472" spans="1:17" ht="16.5">
      <c r="A472" s="173"/>
      <c r="B472" s="174"/>
      <c r="C472" s="170" t="s">
        <v>486</v>
      </c>
      <c r="D472" s="490"/>
      <c r="E472" s="488">
        <f>5000+4500+32000</f>
        <v>41500</v>
      </c>
      <c r="F472" s="488">
        <f t="shared" si="86"/>
        <v>41500</v>
      </c>
      <c r="G472" s="484">
        <f t="shared" si="79"/>
        <v>41500</v>
      </c>
      <c r="H472" s="488">
        <v>41500</v>
      </c>
      <c r="I472" s="488"/>
      <c r="J472" s="488"/>
      <c r="K472" s="488"/>
      <c r="L472" s="490"/>
      <c r="M472" s="488">
        <f>5000+4500+8*4000</f>
        <v>41500</v>
      </c>
      <c r="N472" s="488">
        <v>41500</v>
      </c>
      <c r="O472" s="470">
        <f t="shared" si="80"/>
        <v>41500</v>
      </c>
      <c r="P472" s="488"/>
      <c r="Q472" s="622"/>
    </row>
    <row r="473" spans="1:17" ht="30">
      <c r="A473" s="171"/>
      <c r="B473" s="174"/>
      <c r="C473" s="170" t="s">
        <v>487</v>
      </c>
      <c r="D473" s="490"/>
      <c r="E473" s="488">
        <f>10*300*5</f>
        <v>15000</v>
      </c>
      <c r="F473" s="488"/>
      <c r="G473" s="484">
        <f t="shared" si="79"/>
        <v>0</v>
      </c>
      <c r="H473" s="488"/>
      <c r="I473" s="488"/>
      <c r="J473" s="488"/>
      <c r="K473" s="488"/>
      <c r="L473" s="490"/>
      <c r="M473" s="488">
        <f>10*300*5</f>
        <v>15000</v>
      </c>
      <c r="N473" s="488">
        <v>15000</v>
      </c>
      <c r="O473" s="625">
        <f>N473</f>
        <v>15000</v>
      </c>
      <c r="P473" s="470"/>
      <c r="Q473" s="1165"/>
    </row>
    <row r="474" spans="1:17" ht="16.5">
      <c r="A474" s="171"/>
      <c r="B474" s="174"/>
      <c r="C474" s="170" t="s">
        <v>488</v>
      </c>
      <c r="D474" s="490"/>
      <c r="E474" s="488">
        <f>10*2000</f>
        <v>20000</v>
      </c>
      <c r="F474" s="488"/>
      <c r="G474" s="484">
        <f t="shared" si="79"/>
        <v>0</v>
      </c>
      <c r="H474" s="488"/>
      <c r="I474" s="488"/>
      <c r="J474" s="488"/>
      <c r="K474" s="488"/>
      <c r="L474" s="490"/>
      <c r="M474" s="488">
        <v>20000</v>
      </c>
      <c r="N474" s="488">
        <v>20000</v>
      </c>
      <c r="O474" s="470">
        <f>N474</f>
        <v>20000</v>
      </c>
      <c r="P474" s="488"/>
      <c r="Q474" s="1166"/>
    </row>
    <row r="475" spans="1:17" ht="16.5">
      <c r="A475" s="171" t="s">
        <v>489</v>
      </c>
      <c r="B475" s="174"/>
      <c r="C475" s="169" t="s">
        <v>490</v>
      </c>
      <c r="D475" s="490"/>
      <c r="E475" s="491">
        <f>SUM(E476:E476)</f>
        <v>20000</v>
      </c>
      <c r="F475" s="491"/>
      <c r="G475" s="484">
        <f t="shared" si="79"/>
        <v>0</v>
      </c>
      <c r="H475" s="491">
        <f>SUM(H476:H476)</f>
        <v>0</v>
      </c>
      <c r="I475" s="491"/>
      <c r="J475" s="491"/>
      <c r="K475" s="491"/>
      <c r="L475" s="492"/>
      <c r="M475" s="491">
        <f>SUM(M476:M478)</f>
        <v>67230</v>
      </c>
      <c r="N475" s="491">
        <f>SUM(N476:N478)</f>
        <v>67230</v>
      </c>
      <c r="O475" s="466">
        <f t="shared" si="80"/>
        <v>67230</v>
      </c>
      <c r="P475" s="491"/>
      <c r="Q475" s="646"/>
    </row>
    <row r="476" spans="1:17" ht="16.5">
      <c r="A476" s="171"/>
      <c r="B476" s="174"/>
      <c r="C476" s="170" t="s">
        <v>1009</v>
      </c>
      <c r="D476" s="490"/>
      <c r="E476" s="488">
        <v>20000</v>
      </c>
      <c r="F476" s="488"/>
      <c r="G476" s="484">
        <f t="shared" si="79"/>
        <v>0</v>
      </c>
      <c r="H476" s="488"/>
      <c r="I476" s="488"/>
      <c r="J476" s="488"/>
      <c r="K476" s="488"/>
      <c r="L476" s="490"/>
      <c r="M476" s="488">
        <v>13000</v>
      </c>
      <c r="N476" s="488">
        <v>13000</v>
      </c>
      <c r="O476" s="470">
        <f t="shared" si="80"/>
        <v>13000</v>
      </c>
      <c r="P476" s="488"/>
      <c r="Q476" s="358"/>
    </row>
    <row r="477" spans="1:17" ht="16.5">
      <c r="A477" s="171"/>
      <c r="B477" s="174"/>
      <c r="C477" s="170" t="s">
        <v>1010</v>
      </c>
      <c r="D477" s="490"/>
      <c r="E477" s="488"/>
      <c r="F477" s="488"/>
      <c r="G477" s="484"/>
      <c r="H477" s="488"/>
      <c r="I477" s="488"/>
      <c r="J477" s="488"/>
      <c r="K477" s="488"/>
      <c r="L477" s="490"/>
      <c r="M477" s="488">
        <v>33990</v>
      </c>
      <c r="N477" s="488">
        <v>33990</v>
      </c>
      <c r="O477" s="470">
        <f t="shared" si="80"/>
        <v>33990</v>
      </c>
      <c r="P477" s="488"/>
      <c r="Q477" s="357"/>
    </row>
    <row r="478" spans="1:17" ht="16.5">
      <c r="A478" s="171"/>
      <c r="B478" s="174"/>
      <c r="C478" s="170" t="s">
        <v>1011</v>
      </c>
      <c r="D478" s="490"/>
      <c r="E478" s="488"/>
      <c r="F478" s="488"/>
      <c r="G478" s="484"/>
      <c r="H478" s="488"/>
      <c r="I478" s="488"/>
      <c r="J478" s="488"/>
      <c r="K478" s="488"/>
      <c r="L478" s="490"/>
      <c r="M478" s="488">
        <v>20240</v>
      </c>
      <c r="N478" s="488">
        <f>M478</f>
        <v>20240</v>
      </c>
      <c r="O478" s="470">
        <f t="shared" si="80"/>
        <v>20240</v>
      </c>
      <c r="P478" s="488"/>
      <c r="Q478" s="357"/>
    </row>
    <row r="479" spans="1:17" ht="16.5">
      <c r="A479" s="478">
        <v>10</v>
      </c>
      <c r="B479" s="479"/>
      <c r="C479" s="480" t="s">
        <v>287</v>
      </c>
      <c r="D479" s="471">
        <f t="shared" ref="D479:E479" si="89">(D481+D488+D489)</f>
        <v>0</v>
      </c>
      <c r="E479" s="472">
        <f t="shared" si="89"/>
        <v>388189.53250000003</v>
      </c>
      <c r="F479" s="491">
        <f>G479+J479</f>
        <v>379889.53250000003</v>
      </c>
      <c r="G479" s="472">
        <f t="shared" si="79"/>
        <v>369789.53250000003</v>
      </c>
      <c r="H479" s="472">
        <f>(H481+H488+H489)</f>
        <v>369789.53250000003</v>
      </c>
      <c r="I479" s="472">
        <f t="shared" ref="I479:J479" si="90">(I481+I488+I489)</f>
        <v>0</v>
      </c>
      <c r="J479" s="472">
        <f t="shared" si="90"/>
        <v>10100</v>
      </c>
      <c r="K479" s="472"/>
      <c r="L479" s="471"/>
      <c r="M479" s="472">
        <f>(M481+M488+M489)</f>
        <v>479084.70599999995</v>
      </c>
      <c r="N479" s="472">
        <f>(N481+N488+N489)</f>
        <v>459084.70599999995</v>
      </c>
      <c r="O479" s="466">
        <f t="shared" si="80"/>
        <v>459084.70599999995</v>
      </c>
      <c r="P479" s="472"/>
      <c r="Q479" s="622"/>
    </row>
    <row r="480" spans="1:17" ht="16.5">
      <c r="A480" s="171"/>
      <c r="B480" s="201">
        <v>17.62</v>
      </c>
      <c r="C480" s="169" t="s">
        <v>1012</v>
      </c>
      <c r="D480" s="490"/>
      <c r="E480" s="491">
        <v>50000</v>
      </c>
      <c r="F480" s="491">
        <f>G480+J480</f>
        <v>50000</v>
      </c>
      <c r="G480" s="472">
        <f t="shared" si="79"/>
        <v>50000</v>
      </c>
      <c r="H480" s="491">
        <v>50000</v>
      </c>
      <c r="I480" s="491"/>
      <c r="J480" s="491"/>
      <c r="K480" s="491"/>
      <c r="L480" s="492"/>
      <c r="M480" s="491">
        <v>200000</v>
      </c>
      <c r="N480" s="491">
        <v>200000</v>
      </c>
      <c r="O480" s="466">
        <f t="shared" si="80"/>
        <v>200000</v>
      </c>
      <c r="P480" s="491"/>
      <c r="Q480" s="622" t="s">
        <v>711</v>
      </c>
    </row>
    <row r="481" spans="1:17" ht="16.5">
      <c r="A481" s="171" t="s">
        <v>491</v>
      </c>
      <c r="B481" s="201"/>
      <c r="C481" s="169" t="s">
        <v>377</v>
      </c>
      <c r="D481" s="490"/>
      <c r="E481" s="491">
        <f>SUM(E483:E487)</f>
        <v>270780.90000000002</v>
      </c>
      <c r="F481" s="491">
        <f>SUM(F483:F487)</f>
        <v>280880.90000000002</v>
      </c>
      <c r="G481" s="472">
        <f>H481+I481</f>
        <v>270780.90000000002</v>
      </c>
      <c r="H481" s="491">
        <f>SUM(H483:H487)</f>
        <v>270780.90000000002</v>
      </c>
      <c r="I481" s="491">
        <f t="shared" ref="I481:M481" si="91">SUM(I483:I487)</f>
        <v>0</v>
      </c>
      <c r="J481" s="491">
        <f t="shared" si="91"/>
        <v>10100</v>
      </c>
      <c r="K481" s="491">
        <f t="shared" si="91"/>
        <v>0</v>
      </c>
      <c r="L481" s="492"/>
      <c r="M481" s="491">
        <f t="shared" si="91"/>
        <v>308456.56799999997</v>
      </c>
      <c r="N481" s="491">
        <f>SUM(N483:N487)</f>
        <v>308456.56799999997</v>
      </c>
      <c r="O481" s="466">
        <f t="shared" si="80"/>
        <v>308456.56799999997</v>
      </c>
      <c r="P481" s="491"/>
      <c r="Q481" s="622"/>
    </row>
    <row r="482" spans="1:17" ht="16.5">
      <c r="A482" s="171"/>
      <c r="B482" s="201"/>
      <c r="C482" s="169" t="s">
        <v>492</v>
      </c>
      <c r="D482" s="490"/>
      <c r="E482" s="488"/>
      <c r="F482" s="488"/>
      <c r="G482" s="484">
        <f t="shared" si="79"/>
        <v>0</v>
      </c>
      <c r="H482" s="488"/>
      <c r="I482" s="488"/>
      <c r="J482" s="488"/>
      <c r="K482" s="488"/>
      <c r="L482" s="490"/>
      <c r="M482" s="488"/>
      <c r="N482" s="488"/>
      <c r="O482" s="470">
        <f t="shared" si="80"/>
        <v>0</v>
      </c>
      <c r="P482" s="488"/>
      <c r="Q482" s="622"/>
    </row>
    <row r="483" spans="1:17" ht="16.5">
      <c r="A483" s="171"/>
      <c r="B483" s="201"/>
      <c r="C483" s="170" t="s">
        <v>493</v>
      </c>
      <c r="D483" s="489">
        <f>3.33+0.3+0.1</f>
        <v>3.73</v>
      </c>
      <c r="E483" s="488">
        <f>D483*1300*12</f>
        <v>58188</v>
      </c>
      <c r="F483" s="488">
        <f>G483+J483</f>
        <v>68288</v>
      </c>
      <c r="G483" s="484">
        <f t="shared" si="79"/>
        <v>58188</v>
      </c>
      <c r="H483" s="488">
        <f>E483</f>
        <v>58188</v>
      </c>
      <c r="I483" s="488"/>
      <c r="J483" s="488">
        <v>10100</v>
      </c>
      <c r="K483" s="488"/>
      <c r="L483" s="489">
        <f>3.66+0.3+0.1</f>
        <v>4.0599999999999996</v>
      </c>
      <c r="M483" s="488">
        <f>L483*1390*12</f>
        <v>67720.799999999988</v>
      </c>
      <c r="N483" s="488">
        <f>M483</f>
        <v>67720.799999999988</v>
      </c>
      <c r="O483" s="470">
        <f t="shared" si="80"/>
        <v>67720.799999999988</v>
      </c>
      <c r="P483" s="488"/>
      <c r="Q483" s="622"/>
    </row>
    <row r="484" spans="1:17" ht="16.5">
      <c r="A484" s="171"/>
      <c r="B484" s="174"/>
      <c r="C484" s="170" t="s">
        <v>733</v>
      </c>
      <c r="D484" s="489">
        <f>(3.33+0.3)*23.5%</f>
        <v>0.85304999999999997</v>
      </c>
      <c r="E484" s="488">
        <f>D484*1300*12</f>
        <v>13307.579999999998</v>
      </c>
      <c r="F484" s="488">
        <f>G484+J484</f>
        <v>13307.579999999998</v>
      </c>
      <c r="G484" s="484">
        <f t="shared" si="79"/>
        <v>13307.579999999998</v>
      </c>
      <c r="H484" s="488">
        <f>E484</f>
        <v>13307.579999999998</v>
      </c>
      <c r="I484" s="488"/>
      <c r="J484" s="488"/>
      <c r="K484" s="488"/>
      <c r="L484" s="489">
        <f>(3.66+0.3)*22.5%</f>
        <v>0.89100000000000001</v>
      </c>
      <c r="M484" s="488">
        <f>L484*1390*12</f>
        <v>14861.880000000001</v>
      </c>
      <c r="N484" s="488">
        <f>M484</f>
        <v>14861.880000000001</v>
      </c>
      <c r="O484" s="470">
        <f t="shared" si="80"/>
        <v>14861.880000000001</v>
      </c>
      <c r="P484" s="488"/>
      <c r="Q484" s="646"/>
    </row>
    <row r="485" spans="1:17" ht="16.5">
      <c r="A485" s="171"/>
      <c r="B485" s="174"/>
      <c r="C485" s="169" t="s">
        <v>480</v>
      </c>
      <c r="D485" s="492"/>
      <c r="E485" s="491"/>
      <c r="F485" s="488">
        <f t="shared" ref="F485" si="92">G485+J485</f>
        <v>0</v>
      </c>
      <c r="G485" s="484">
        <f t="shared" si="79"/>
        <v>0</v>
      </c>
      <c r="H485" s="491"/>
      <c r="I485" s="491"/>
      <c r="J485" s="491"/>
      <c r="K485" s="491"/>
      <c r="L485" s="492"/>
      <c r="M485" s="491"/>
      <c r="N485" s="491"/>
      <c r="O485" s="470">
        <f t="shared" si="80"/>
        <v>0</v>
      </c>
      <c r="P485" s="491"/>
      <c r="Q485" s="622"/>
    </row>
    <row r="486" spans="1:17" ht="16.5">
      <c r="A486" s="171"/>
      <c r="B486" s="174"/>
      <c r="C486" s="170" t="s">
        <v>100</v>
      </c>
      <c r="D486" s="489">
        <f>10.02+0.4</f>
        <v>10.42</v>
      </c>
      <c r="E486" s="488">
        <f>D486*1300*12</f>
        <v>162552</v>
      </c>
      <c r="F486" s="488">
        <f>G486+J486</f>
        <v>162552</v>
      </c>
      <c r="G486" s="484">
        <f t="shared" si="79"/>
        <v>162552</v>
      </c>
      <c r="H486" s="488">
        <f>E486</f>
        <v>162552</v>
      </c>
      <c r="I486" s="488"/>
      <c r="J486" s="488"/>
      <c r="K486" s="488"/>
      <c r="L486" s="505">
        <f>10.56+0.4+0.1</f>
        <v>11.06</v>
      </c>
      <c r="M486" s="488">
        <f>L486*1390*12</f>
        <v>184480.80000000002</v>
      </c>
      <c r="N486" s="488">
        <f>M486</f>
        <v>184480.80000000002</v>
      </c>
      <c r="O486" s="470">
        <f t="shared" si="80"/>
        <v>184480.80000000002</v>
      </c>
      <c r="P486" s="488"/>
      <c r="Q486" s="622"/>
    </row>
    <row r="487" spans="1:17" ht="16.5">
      <c r="A487" s="171"/>
      <c r="B487" s="174"/>
      <c r="C487" s="170" t="s">
        <v>733</v>
      </c>
      <c r="D487" s="489">
        <f>10.02*23.5%</f>
        <v>2.3546999999999998</v>
      </c>
      <c r="E487" s="488">
        <f>D487*1300*12</f>
        <v>36733.319999999992</v>
      </c>
      <c r="F487" s="488">
        <f>G487+J487</f>
        <v>36733.319999999992</v>
      </c>
      <c r="G487" s="484">
        <f t="shared" si="79"/>
        <v>36733.319999999992</v>
      </c>
      <c r="H487" s="488">
        <f>E487</f>
        <v>36733.319999999992</v>
      </c>
      <c r="I487" s="488"/>
      <c r="J487" s="488"/>
      <c r="K487" s="488"/>
      <c r="L487" s="505">
        <f>10.56*23.5%</f>
        <v>2.4815999999999998</v>
      </c>
      <c r="M487" s="488">
        <f>L487*1390*12</f>
        <v>41393.087999999996</v>
      </c>
      <c r="N487" s="488">
        <f>M487</f>
        <v>41393.087999999996</v>
      </c>
      <c r="O487" s="470">
        <f t="shared" si="80"/>
        <v>41393.087999999996</v>
      </c>
      <c r="P487" s="488"/>
      <c r="Q487" s="622"/>
    </row>
    <row r="488" spans="1:17" ht="16.5">
      <c r="A488" s="171" t="s">
        <v>494</v>
      </c>
      <c r="B488" s="174"/>
      <c r="C488" s="169" t="s">
        <v>732</v>
      </c>
      <c r="D488" s="490"/>
      <c r="E488" s="491">
        <f>(D483+D484+D486+D487)*1210*20/80*12</f>
        <v>63008.632499999992</v>
      </c>
      <c r="F488" s="491">
        <f t="shared" ref="F488:F495" si="93">G488+J488</f>
        <v>63008.632499999992</v>
      </c>
      <c r="G488" s="472">
        <f>H488+I488</f>
        <v>63008.632499999992</v>
      </c>
      <c r="H488" s="491">
        <f>E488</f>
        <v>63008.632499999992</v>
      </c>
      <c r="I488" s="488"/>
      <c r="J488" s="488"/>
      <c r="K488" s="488"/>
      <c r="L488" s="490"/>
      <c r="M488" s="491">
        <f>(L483+L484+L486+L487)*1210*20/80*12</f>
        <v>67128.137999999992</v>
      </c>
      <c r="N488" s="491">
        <f>M488</f>
        <v>67128.137999999992</v>
      </c>
      <c r="O488" s="466">
        <f t="shared" si="80"/>
        <v>67128.137999999992</v>
      </c>
      <c r="P488" s="491"/>
      <c r="Q488" s="622"/>
    </row>
    <row r="489" spans="1:17" ht="16.5">
      <c r="A489" s="171" t="s">
        <v>495</v>
      </c>
      <c r="B489" s="174"/>
      <c r="C489" s="169" t="s">
        <v>380</v>
      </c>
      <c r="D489" s="471">
        <f>D490+D494</f>
        <v>0</v>
      </c>
      <c r="E489" s="472">
        <f>E490+E494</f>
        <v>54400</v>
      </c>
      <c r="F489" s="491">
        <f t="shared" si="93"/>
        <v>36000</v>
      </c>
      <c r="G489" s="472">
        <f t="shared" si="79"/>
        <v>36000</v>
      </c>
      <c r="H489" s="472">
        <f>H490+H494</f>
        <v>36000</v>
      </c>
      <c r="I489" s="472">
        <f t="shared" ref="I489:N489" si="94">I490+I494</f>
        <v>0</v>
      </c>
      <c r="J489" s="472">
        <f t="shared" si="94"/>
        <v>0</v>
      </c>
      <c r="K489" s="472">
        <f t="shared" si="94"/>
        <v>0</v>
      </c>
      <c r="L489" s="471">
        <f t="shared" si="94"/>
        <v>0</v>
      </c>
      <c r="M489" s="472">
        <f>M490+M494</f>
        <v>103500</v>
      </c>
      <c r="N489" s="472">
        <f t="shared" si="94"/>
        <v>83500</v>
      </c>
      <c r="O489" s="466">
        <f t="shared" si="80"/>
        <v>83500</v>
      </c>
      <c r="P489" s="472"/>
      <c r="Q489" s="622"/>
    </row>
    <row r="490" spans="1:17" ht="16.5">
      <c r="A490" s="173"/>
      <c r="B490" s="174"/>
      <c r="C490" s="169" t="s">
        <v>496</v>
      </c>
      <c r="D490" s="471">
        <f>SUM(D491:D493)</f>
        <v>0</v>
      </c>
      <c r="E490" s="472">
        <f>SUM(E491:E493)</f>
        <v>38500</v>
      </c>
      <c r="F490" s="491">
        <f t="shared" si="93"/>
        <v>21000</v>
      </c>
      <c r="G490" s="472">
        <f t="shared" si="79"/>
        <v>21000</v>
      </c>
      <c r="H490" s="472">
        <f>SUM(H491:H493)</f>
        <v>21000</v>
      </c>
      <c r="I490" s="472">
        <f t="shared" ref="I490:N490" si="95">SUM(I491:I493)</f>
        <v>0</v>
      </c>
      <c r="J490" s="472">
        <f t="shared" si="95"/>
        <v>0</v>
      </c>
      <c r="K490" s="472">
        <f t="shared" si="95"/>
        <v>0</v>
      </c>
      <c r="L490" s="471">
        <f t="shared" si="95"/>
        <v>0</v>
      </c>
      <c r="M490" s="472">
        <f t="shared" si="95"/>
        <v>38500</v>
      </c>
      <c r="N490" s="472">
        <f t="shared" si="95"/>
        <v>38500</v>
      </c>
      <c r="O490" s="466">
        <f t="shared" si="80"/>
        <v>38500</v>
      </c>
      <c r="P490" s="472"/>
      <c r="Q490" s="622"/>
    </row>
    <row r="491" spans="1:17" ht="16.5">
      <c r="A491" s="171"/>
      <c r="B491" s="174"/>
      <c r="C491" s="170" t="s">
        <v>497</v>
      </c>
      <c r="D491" s="490"/>
      <c r="E491" s="488">
        <f>5000+4*4000</f>
        <v>21000</v>
      </c>
      <c r="F491" s="488">
        <f t="shared" si="93"/>
        <v>21000</v>
      </c>
      <c r="G491" s="484">
        <f t="shared" si="79"/>
        <v>21000</v>
      </c>
      <c r="H491" s="488">
        <v>21000</v>
      </c>
      <c r="I491" s="488"/>
      <c r="J491" s="488"/>
      <c r="K491" s="488"/>
      <c r="L491" s="490"/>
      <c r="M491" s="488">
        <v>21000</v>
      </c>
      <c r="N491" s="488">
        <v>21000</v>
      </c>
      <c r="O491" s="470">
        <f t="shared" si="80"/>
        <v>21000</v>
      </c>
      <c r="P491" s="488"/>
      <c r="Q491" s="622"/>
    </row>
    <row r="492" spans="1:17" ht="30">
      <c r="A492" s="171"/>
      <c r="B492" s="174"/>
      <c r="C492" s="170" t="s">
        <v>520</v>
      </c>
      <c r="D492" s="490"/>
      <c r="E492" s="488">
        <f>5*300*5</f>
        <v>7500</v>
      </c>
      <c r="F492" s="488">
        <f t="shared" si="93"/>
        <v>0</v>
      </c>
      <c r="G492" s="484">
        <f t="shared" si="79"/>
        <v>0</v>
      </c>
      <c r="H492" s="488"/>
      <c r="I492" s="488"/>
      <c r="J492" s="514"/>
      <c r="K492" s="514"/>
      <c r="L492" s="513"/>
      <c r="M492" s="514">
        <f>5*300*5</f>
        <v>7500</v>
      </c>
      <c r="N492" s="514">
        <f>M492</f>
        <v>7500</v>
      </c>
      <c r="O492" s="470"/>
      <c r="P492" s="488"/>
      <c r="Q492" s="1165" t="s">
        <v>1008</v>
      </c>
    </row>
    <row r="493" spans="1:17" ht="16.5">
      <c r="A493" s="171"/>
      <c r="B493" s="174"/>
      <c r="C493" s="170" t="s">
        <v>498</v>
      </c>
      <c r="D493" s="490"/>
      <c r="E493" s="488">
        <f>5*2000</f>
        <v>10000</v>
      </c>
      <c r="F493" s="488">
        <f t="shared" si="93"/>
        <v>0</v>
      </c>
      <c r="G493" s="484">
        <f t="shared" si="79"/>
        <v>0</v>
      </c>
      <c r="H493" s="488"/>
      <c r="I493" s="488"/>
      <c r="J493" s="514"/>
      <c r="K493" s="514"/>
      <c r="L493" s="513"/>
      <c r="M493" s="514">
        <v>10000</v>
      </c>
      <c r="N493" s="514">
        <f>M493</f>
        <v>10000</v>
      </c>
      <c r="O493" s="470"/>
      <c r="P493" s="488"/>
      <c r="Q493" s="1166"/>
    </row>
    <row r="494" spans="1:17" ht="16.5">
      <c r="A494" s="171"/>
      <c r="B494" s="174"/>
      <c r="C494" s="169" t="s">
        <v>499</v>
      </c>
      <c r="D494" s="492">
        <f>SUM(D495:D495)</f>
        <v>0</v>
      </c>
      <c r="E494" s="464">
        <f>SUM(E495:E495)</f>
        <v>15900</v>
      </c>
      <c r="F494" s="491">
        <f t="shared" si="93"/>
        <v>15000</v>
      </c>
      <c r="G494" s="472">
        <f>H494+I494</f>
        <v>15000</v>
      </c>
      <c r="H494" s="464">
        <f>SUM(H495:H495)</f>
        <v>15000</v>
      </c>
      <c r="I494" s="464">
        <f>SUM(I495:I495)</f>
        <v>0</v>
      </c>
      <c r="J494" s="464"/>
      <c r="K494" s="464"/>
      <c r="L494" s="492"/>
      <c r="M494" s="464">
        <f>SUM(M495:M496)</f>
        <v>65000</v>
      </c>
      <c r="N494" s="464">
        <f>SUM(N495:N496)</f>
        <v>45000</v>
      </c>
      <c r="O494" s="466">
        <f t="shared" si="80"/>
        <v>45000</v>
      </c>
      <c r="P494" s="464"/>
      <c r="Q494" s="622"/>
    </row>
    <row r="495" spans="1:17" ht="16.5">
      <c r="A495" s="171"/>
      <c r="B495" s="174"/>
      <c r="C495" s="170" t="s">
        <v>762</v>
      </c>
      <c r="D495" s="490"/>
      <c r="E495" s="488">
        <v>15900</v>
      </c>
      <c r="F495" s="488">
        <f t="shared" si="93"/>
        <v>15000</v>
      </c>
      <c r="G495" s="484">
        <f t="shared" si="79"/>
        <v>15000</v>
      </c>
      <c r="H495" s="488">
        <v>15000</v>
      </c>
      <c r="I495" s="488"/>
      <c r="J495" s="488"/>
      <c r="K495" s="488"/>
      <c r="L495" s="490"/>
      <c r="M495" s="488">
        <v>15000</v>
      </c>
      <c r="N495" s="488">
        <v>15000</v>
      </c>
      <c r="O495" s="470">
        <f t="shared" si="80"/>
        <v>15000</v>
      </c>
      <c r="P495" s="488"/>
      <c r="Q495" s="622"/>
    </row>
    <row r="496" spans="1:17" ht="26.25">
      <c r="A496" s="171"/>
      <c r="B496" s="201"/>
      <c r="C496" s="170" t="s">
        <v>1013</v>
      </c>
      <c r="D496" s="490"/>
      <c r="E496" s="488"/>
      <c r="F496" s="488">
        <f t="shared" ref="F496:F504" si="96">G496+J496</f>
        <v>0</v>
      </c>
      <c r="G496" s="484"/>
      <c r="H496" s="488"/>
      <c r="I496" s="488"/>
      <c r="J496" s="488"/>
      <c r="K496" s="488"/>
      <c r="L496" s="490"/>
      <c r="M496" s="488">
        <v>50000</v>
      </c>
      <c r="N496" s="488">
        <v>30000</v>
      </c>
      <c r="O496" s="470">
        <f t="shared" si="80"/>
        <v>30000</v>
      </c>
      <c r="P496" s="488"/>
      <c r="Q496" s="634" t="s">
        <v>1014</v>
      </c>
    </row>
    <row r="497" spans="1:18" ht="16.5">
      <c r="A497" s="171">
        <v>11</v>
      </c>
      <c r="B497" s="201"/>
      <c r="C497" s="169" t="s">
        <v>196</v>
      </c>
      <c r="D497" s="490"/>
      <c r="E497" s="491">
        <v>50000</v>
      </c>
      <c r="F497" s="491">
        <f t="shared" si="96"/>
        <v>50000</v>
      </c>
      <c r="G497" s="472">
        <f t="shared" ref="G497:G545" si="97">H497+I497</f>
        <v>50000</v>
      </c>
      <c r="H497" s="491">
        <v>50000</v>
      </c>
      <c r="I497" s="491"/>
      <c r="J497" s="491"/>
      <c r="K497" s="491"/>
      <c r="L497" s="492"/>
      <c r="M497" s="491">
        <v>50000</v>
      </c>
      <c r="N497" s="491">
        <v>50000</v>
      </c>
      <c r="O497" s="466">
        <f t="shared" si="80"/>
        <v>50000</v>
      </c>
      <c r="P497" s="491"/>
      <c r="Q497" s="622"/>
    </row>
    <row r="498" spans="1:18" ht="16.5">
      <c r="A498" s="171">
        <v>12</v>
      </c>
      <c r="B498" s="201"/>
      <c r="C498" s="169" t="s">
        <v>677</v>
      </c>
      <c r="D498" s="490"/>
      <c r="E498" s="491">
        <v>60000</v>
      </c>
      <c r="F498" s="491">
        <f t="shared" si="96"/>
        <v>60000</v>
      </c>
      <c r="G498" s="472">
        <f t="shared" si="97"/>
        <v>60000</v>
      </c>
      <c r="H498" s="491">
        <v>60000</v>
      </c>
      <c r="I498" s="491"/>
      <c r="J498" s="491"/>
      <c r="K498" s="491"/>
      <c r="L498" s="492"/>
      <c r="M498" s="491">
        <v>60000</v>
      </c>
      <c r="N498" s="491">
        <v>60000</v>
      </c>
      <c r="O498" s="466">
        <f t="shared" si="80"/>
        <v>60000</v>
      </c>
      <c r="P498" s="491"/>
      <c r="Q498" s="622"/>
    </row>
    <row r="499" spans="1:18" ht="16.5">
      <c r="A499" s="171" t="s">
        <v>565</v>
      </c>
      <c r="B499" s="201"/>
      <c r="C499" s="169" t="s">
        <v>580</v>
      </c>
      <c r="D499" s="492">
        <f>D500+D501</f>
        <v>0</v>
      </c>
      <c r="E499" s="464">
        <f>E500+E501</f>
        <v>15500000</v>
      </c>
      <c r="F499" s="491">
        <f t="shared" si="96"/>
        <v>14356480</v>
      </c>
      <c r="G499" s="472">
        <f t="shared" si="97"/>
        <v>14356480</v>
      </c>
      <c r="H499" s="464">
        <f>H500+H501</f>
        <v>14356480</v>
      </c>
      <c r="I499" s="464"/>
      <c r="J499" s="464"/>
      <c r="K499" s="464"/>
      <c r="L499" s="492"/>
      <c r="M499" s="464">
        <f>M500+M501</f>
        <v>13500000</v>
      </c>
      <c r="N499" s="464">
        <f>N500+N501</f>
        <v>13500000</v>
      </c>
      <c r="O499" s="466">
        <f t="shared" si="80"/>
        <v>13500000</v>
      </c>
      <c r="P499" s="464"/>
      <c r="Q499" s="622"/>
      <c r="R499" s="119">
        <f>G499-H499-I499</f>
        <v>0</v>
      </c>
    </row>
    <row r="500" spans="1:18" ht="36" customHeight="1">
      <c r="A500" s="171"/>
      <c r="B500" s="201"/>
      <c r="C500" s="170" t="s">
        <v>1015</v>
      </c>
      <c r="D500" s="490"/>
      <c r="E500" s="488">
        <v>12500000</v>
      </c>
      <c r="F500" s="488">
        <f t="shared" si="96"/>
        <v>11356480</v>
      </c>
      <c r="G500" s="538">
        <f>H500+I500</f>
        <v>11356480</v>
      </c>
      <c r="H500" s="539">
        <f>11000000+356480</f>
        <v>11356480</v>
      </c>
      <c r="I500" s="540"/>
      <c r="J500" s="540"/>
      <c r="K500" s="540"/>
      <c r="L500" s="541"/>
      <c r="M500" s="540">
        <v>12500000</v>
      </c>
      <c r="N500" s="540">
        <v>12500000</v>
      </c>
      <c r="O500" s="470">
        <f t="shared" si="80"/>
        <v>12500000</v>
      </c>
      <c r="P500" s="540"/>
      <c r="Q500" s="622"/>
    </row>
    <row r="501" spans="1:18" ht="53.25" customHeight="1">
      <c r="A501" s="171"/>
      <c r="B501" s="201"/>
      <c r="C501" s="170" t="s">
        <v>1226</v>
      </c>
      <c r="D501" s="490"/>
      <c r="E501" s="488">
        <v>3000000</v>
      </c>
      <c r="F501" s="488">
        <f t="shared" si="96"/>
        <v>3000000</v>
      </c>
      <c r="G501" s="538">
        <f t="shared" si="97"/>
        <v>3000000</v>
      </c>
      <c r="H501" s="539">
        <v>3000000</v>
      </c>
      <c r="I501" s="540"/>
      <c r="J501" s="540"/>
      <c r="K501" s="540"/>
      <c r="L501" s="541"/>
      <c r="M501" s="540">
        <v>1000000</v>
      </c>
      <c r="N501" s="540">
        <v>1000000</v>
      </c>
      <c r="O501" s="470">
        <f t="shared" si="80"/>
        <v>1000000</v>
      </c>
      <c r="P501" s="540"/>
      <c r="Q501" s="622"/>
    </row>
    <row r="502" spans="1:18" ht="16.5">
      <c r="A502" s="159" t="s">
        <v>562</v>
      </c>
      <c r="B502" s="164"/>
      <c r="C502" s="169" t="s">
        <v>288</v>
      </c>
      <c r="D502" s="471" t="e">
        <f>(D503+#REF!+D525)</f>
        <v>#REF!</v>
      </c>
      <c r="E502" s="472" t="e">
        <f>(E503+#REF!+E525)</f>
        <v>#REF!</v>
      </c>
      <c r="F502" s="491" t="e">
        <f t="shared" si="96"/>
        <v>#REF!</v>
      </c>
      <c r="G502" s="472" t="e">
        <f>H502+I502</f>
        <v>#REF!</v>
      </c>
      <c r="H502" s="472" t="e">
        <f>(H503+#REF!+H525)</f>
        <v>#REF!</v>
      </c>
      <c r="I502" s="472" t="e">
        <f>(I503+#REF!+I525)</f>
        <v>#REF!</v>
      </c>
      <c r="J502" s="472" t="e">
        <f>(J503+#REF!+J525)</f>
        <v>#REF!</v>
      </c>
      <c r="K502" s="472"/>
      <c r="L502" s="471"/>
      <c r="M502" s="472">
        <f>(M503+M525)</f>
        <v>113522359.25720499</v>
      </c>
      <c r="N502" s="472">
        <f t="shared" ref="N502:P502" si="98">(N503+N525)</f>
        <v>112626099.25720499</v>
      </c>
      <c r="O502" s="472">
        <f t="shared" si="98"/>
        <v>111626099.25720499</v>
      </c>
      <c r="P502" s="472">
        <f t="shared" si="98"/>
        <v>1000000</v>
      </c>
      <c r="Q502" s="622"/>
      <c r="R502" s="119" t="e">
        <f>G502-H502-I502</f>
        <v>#REF!</v>
      </c>
    </row>
    <row r="503" spans="1:18" ht="16.5">
      <c r="A503" s="542">
        <v>1</v>
      </c>
      <c r="B503" s="543"/>
      <c r="C503" s="544" t="s">
        <v>309</v>
      </c>
      <c r="D503" s="545">
        <f t="shared" ref="D503:J503" si="99">D505+D508+D509</f>
        <v>0</v>
      </c>
      <c r="E503" s="546">
        <f t="shared" si="99"/>
        <v>873891.9702499999</v>
      </c>
      <c r="F503" s="547">
        <f t="shared" si="96"/>
        <v>1237801.9702499998</v>
      </c>
      <c r="G503" s="546">
        <f t="shared" si="97"/>
        <v>809911.9702499999</v>
      </c>
      <c r="H503" s="546">
        <f t="shared" si="99"/>
        <v>809911.9702499999</v>
      </c>
      <c r="I503" s="546">
        <f t="shared" si="99"/>
        <v>0</v>
      </c>
      <c r="J503" s="546">
        <f t="shared" si="99"/>
        <v>427890</v>
      </c>
      <c r="K503" s="546"/>
      <c r="L503" s="545"/>
      <c r="M503" s="546">
        <f>M504</f>
        <v>1806359.2572050001</v>
      </c>
      <c r="N503" s="546">
        <f>N504</f>
        <v>910099.25720500003</v>
      </c>
      <c r="O503" s="466">
        <f t="shared" si="80"/>
        <v>910099.25720500003</v>
      </c>
      <c r="P503" s="482"/>
      <c r="Q503" s="631"/>
      <c r="R503" s="500"/>
    </row>
    <row r="504" spans="1:18" ht="16.5">
      <c r="A504" s="171"/>
      <c r="B504" s="201"/>
      <c r="C504" s="169" t="s">
        <v>11</v>
      </c>
      <c r="D504" s="471">
        <f t="shared" ref="D504:H504" si="100">D505+D508+D509</f>
        <v>0</v>
      </c>
      <c r="E504" s="472">
        <f t="shared" si="100"/>
        <v>873891.9702499999</v>
      </c>
      <c r="F504" s="491">
        <f t="shared" si="96"/>
        <v>809911.9702499999</v>
      </c>
      <c r="G504" s="472">
        <f t="shared" si="97"/>
        <v>809911.9702499999</v>
      </c>
      <c r="H504" s="472">
        <f t="shared" si="100"/>
        <v>809911.9702499999</v>
      </c>
      <c r="I504" s="472"/>
      <c r="J504" s="472"/>
      <c r="K504" s="472"/>
      <c r="L504" s="471"/>
      <c r="M504" s="472">
        <f t="shared" ref="M504:N504" si="101">M505+M508+M509</f>
        <v>1806359.2572050001</v>
      </c>
      <c r="N504" s="472">
        <f t="shared" si="101"/>
        <v>910099.25720500003</v>
      </c>
      <c r="O504" s="466">
        <f t="shared" si="80"/>
        <v>910099.25720500003</v>
      </c>
      <c r="P504" s="472"/>
      <c r="Q504" s="622"/>
    </row>
    <row r="505" spans="1:18" ht="16.5">
      <c r="A505" s="171"/>
      <c r="B505" s="172"/>
      <c r="C505" s="169" t="s">
        <v>377</v>
      </c>
      <c r="D505" s="490"/>
      <c r="E505" s="472">
        <f>(E506+E507)</f>
        <v>504093.32999999996</v>
      </c>
      <c r="F505" s="491">
        <f>G505+J505</f>
        <v>521983.32999999996</v>
      </c>
      <c r="G505" s="472">
        <f>H505+I505</f>
        <v>504093.32999999996</v>
      </c>
      <c r="H505" s="472">
        <f>(H506+H507)</f>
        <v>504093.32999999996</v>
      </c>
      <c r="I505" s="472">
        <f t="shared" ref="I505:J505" si="102">(I506+I507)</f>
        <v>0</v>
      </c>
      <c r="J505" s="472">
        <f t="shared" si="102"/>
        <v>17890</v>
      </c>
      <c r="K505" s="472"/>
      <c r="L505" s="471"/>
      <c r="M505" s="472">
        <f>(M506+M507)</f>
        <v>552492.56573999999</v>
      </c>
      <c r="N505" s="472">
        <f>(N506+N507)</f>
        <v>552492.56573999999</v>
      </c>
      <c r="O505" s="466">
        <f t="shared" si="80"/>
        <v>552492.56573999999</v>
      </c>
      <c r="P505" s="472"/>
      <c r="Q505" s="622"/>
    </row>
    <row r="506" spans="1:18" ht="16.5">
      <c r="A506" s="171"/>
      <c r="B506" s="172"/>
      <c r="C506" s="170" t="s">
        <v>500</v>
      </c>
      <c r="D506" s="487">
        <f>17.4+2.8+0.3+0.5+4.014+0.2+1.605+0.3</f>
        <v>27.119</v>
      </c>
      <c r="E506" s="488">
        <f>D506*1300*12</f>
        <v>423056.39999999997</v>
      </c>
      <c r="F506" s="488">
        <f>G506+J506</f>
        <v>440946.39999999997</v>
      </c>
      <c r="G506" s="484">
        <f t="shared" si="97"/>
        <v>423056.39999999997</v>
      </c>
      <c r="H506" s="488">
        <f>E506</f>
        <v>423056.39999999997</v>
      </c>
      <c r="I506" s="488"/>
      <c r="J506" s="488">
        <v>17890</v>
      </c>
      <c r="K506" s="488"/>
      <c r="L506" s="505">
        <f>20.72+0.3+1.7153+0.5+4.116+0.3+0.2</f>
        <v>27.851299999999998</v>
      </c>
      <c r="M506" s="488">
        <f>L506*1390*12</f>
        <v>464559.68400000001</v>
      </c>
      <c r="N506" s="488">
        <f>M506</f>
        <v>464559.68400000001</v>
      </c>
      <c r="O506" s="470">
        <f t="shared" si="80"/>
        <v>464559.68400000001</v>
      </c>
      <c r="P506" s="488"/>
      <c r="Q506" s="622"/>
    </row>
    <row r="507" spans="1:18" ht="16.5">
      <c r="A507" s="171"/>
      <c r="B507" s="172"/>
      <c r="C507" s="170" t="s">
        <v>175</v>
      </c>
      <c r="D507" s="487">
        <f>(17.4+2.8+0.3+1.605)*23.5%</f>
        <v>5.1946750000000002</v>
      </c>
      <c r="E507" s="488">
        <f>D507*1300*12</f>
        <v>81036.930000000008</v>
      </c>
      <c r="F507" s="488">
        <f>G507+J507</f>
        <v>81036.930000000008</v>
      </c>
      <c r="G507" s="484">
        <f t="shared" si="97"/>
        <v>81036.930000000008</v>
      </c>
      <c r="H507" s="488">
        <f>E507</f>
        <v>81036.930000000008</v>
      </c>
      <c r="I507" s="488"/>
      <c r="J507" s="488"/>
      <c r="K507" s="488"/>
      <c r="L507" s="505">
        <f>(20.72+0.3+1.7153)*23.5%-(6.1+0.3+0.704)*1%</f>
        <v>5.2717554999999994</v>
      </c>
      <c r="M507" s="488">
        <f>L507*1390*12</f>
        <v>87932.881739999983</v>
      </c>
      <c r="N507" s="488">
        <f>M507</f>
        <v>87932.881739999983</v>
      </c>
      <c r="O507" s="470">
        <f t="shared" si="80"/>
        <v>87932.881739999983</v>
      </c>
      <c r="P507" s="488"/>
      <c r="Q507" s="622"/>
    </row>
    <row r="508" spans="1:18" ht="16.5">
      <c r="A508" s="171"/>
      <c r="B508" s="172"/>
      <c r="C508" s="169" t="s">
        <v>732</v>
      </c>
      <c r="D508" s="490"/>
      <c r="E508" s="491">
        <f>(D506+D507)*1210*12*20/80</f>
        <v>117298.64024999998</v>
      </c>
      <c r="F508" s="488">
        <f t="shared" ref="F508:F525" si="103">G508+J508</f>
        <v>117298.64024999998</v>
      </c>
      <c r="G508" s="472">
        <f t="shared" si="97"/>
        <v>117298.64024999998</v>
      </c>
      <c r="H508" s="491">
        <f>E508</f>
        <v>117298.64024999998</v>
      </c>
      <c r="I508" s="491"/>
      <c r="J508" s="491"/>
      <c r="K508" s="491"/>
      <c r="L508" s="492"/>
      <c r="M508" s="491">
        <f>(L506+L507)*1210*20/80*12</f>
        <v>120236.691465</v>
      </c>
      <c r="N508" s="491">
        <f>M508</f>
        <v>120236.691465</v>
      </c>
      <c r="O508" s="466">
        <f t="shared" si="80"/>
        <v>120236.691465</v>
      </c>
      <c r="P508" s="491"/>
      <c r="Q508" s="622"/>
    </row>
    <row r="509" spans="1:18" ht="16.5">
      <c r="A509" s="173"/>
      <c r="B509" s="172"/>
      <c r="C509" s="169" t="s">
        <v>380</v>
      </c>
      <c r="D509" s="490"/>
      <c r="E509" s="472">
        <f>SUM(E510:E518)</f>
        <v>252500</v>
      </c>
      <c r="F509" s="491">
        <f t="shared" si="103"/>
        <v>598520</v>
      </c>
      <c r="G509" s="472">
        <f t="shared" si="97"/>
        <v>188520</v>
      </c>
      <c r="H509" s="472">
        <f>SUM(H510:H524)</f>
        <v>188520</v>
      </c>
      <c r="I509" s="472">
        <f>SUM(I510:I524)</f>
        <v>0</v>
      </c>
      <c r="J509" s="472">
        <f>SUM(J510:J524)</f>
        <v>410000</v>
      </c>
      <c r="K509" s="472"/>
      <c r="L509" s="471"/>
      <c r="M509" s="472">
        <f>SUM(M510:M524)</f>
        <v>1133630</v>
      </c>
      <c r="N509" s="472">
        <f>SUM(N510:N524)</f>
        <v>237370</v>
      </c>
      <c r="O509" s="466">
        <f t="shared" si="80"/>
        <v>237370</v>
      </c>
      <c r="P509" s="472"/>
      <c r="Q509" s="622"/>
    </row>
    <row r="510" spans="1:18" ht="16.5">
      <c r="A510" s="346"/>
      <c r="B510" s="172"/>
      <c r="C510" s="170" t="s">
        <v>501</v>
      </c>
      <c r="D510" s="490"/>
      <c r="E510" s="488">
        <f>5000+4*4000</f>
        <v>21000</v>
      </c>
      <c r="F510" s="488">
        <f t="shared" si="103"/>
        <v>21000</v>
      </c>
      <c r="G510" s="484">
        <f t="shared" si="97"/>
        <v>21000</v>
      </c>
      <c r="H510" s="488">
        <f>E510</f>
        <v>21000</v>
      </c>
      <c r="I510" s="488"/>
      <c r="J510" s="488"/>
      <c r="K510" s="488"/>
      <c r="L510" s="490"/>
      <c r="M510" s="488">
        <v>21000</v>
      </c>
      <c r="N510" s="488">
        <v>21000</v>
      </c>
      <c r="O510" s="470">
        <f t="shared" si="80"/>
        <v>21000</v>
      </c>
      <c r="P510" s="488"/>
      <c r="Q510" s="622"/>
    </row>
    <row r="511" spans="1:18" ht="16.5">
      <c r="A511" s="171"/>
      <c r="B511" s="172"/>
      <c r="C511" s="170" t="s">
        <v>65</v>
      </c>
      <c r="D511" s="490"/>
      <c r="E511" s="488">
        <v>2500</v>
      </c>
      <c r="F511" s="488">
        <f t="shared" si="103"/>
        <v>2500</v>
      </c>
      <c r="G511" s="484">
        <f t="shared" si="97"/>
        <v>2500</v>
      </c>
      <c r="H511" s="488">
        <f>E511</f>
        <v>2500</v>
      </c>
      <c r="I511" s="488"/>
      <c r="J511" s="488"/>
      <c r="K511" s="488"/>
      <c r="L511" s="490"/>
      <c r="M511" s="488">
        <v>2500</v>
      </c>
      <c r="N511" s="488">
        <v>2500</v>
      </c>
      <c r="O511" s="470">
        <f t="shared" ref="O511:O568" si="104">N511</f>
        <v>2500</v>
      </c>
      <c r="P511" s="488"/>
      <c r="Q511" s="622"/>
    </row>
    <row r="512" spans="1:18" ht="30">
      <c r="A512" s="171"/>
      <c r="B512" s="172"/>
      <c r="C512" s="170" t="s">
        <v>164</v>
      </c>
      <c r="D512" s="490"/>
      <c r="E512" s="488">
        <f>5*300*5</f>
        <v>7500</v>
      </c>
      <c r="F512" s="488">
        <f t="shared" si="103"/>
        <v>7500</v>
      </c>
      <c r="G512" s="484">
        <f t="shared" si="97"/>
        <v>7500</v>
      </c>
      <c r="H512" s="488">
        <f>E512</f>
        <v>7500</v>
      </c>
      <c r="I512" s="488"/>
      <c r="J512" s="488"/>
      <c r="K512" s="488"/>
      <c r="L512" s="490"/>
      <c r="M512" s="488">
        <v>7500</v>
      </c>
      <c r="N512" s="488">
        <v>7500</v>
      </c>
      <c r="O512" s="470">
        <f t="shared" si="104"/>
        <v>7500</v>
      </c>
      <c r="P512" s="488"/>
      <c r="Q512" s="622"/>
    </row>
    <row r="513" spans="1:18" ht="16.5">
      <c r="A513" s="171"/>
      <c r="B513" s="174"/>
      <c r="C513" s="170" t="s">
        <v>502</v>
      </c>
      <c r="D513" s="490"/>
      <c r="E513" s="488">
        <v>12000</v>
      </c>
      <c r="F513" s="488">
        <f t="shared" si="103"/>
        <v>12000</v>
      </c>
      <c r="G513" s="484">
        <f t="shared" si="97"/>
        <v>12000</v>
      </c>
      <c r="H513" s="488">
        <v>12000</v>
      </c>
      <c r="I513" s="488"/>
      <c r="J513" s="488"/>
      <c r="K513" s="488"/>
      <c r="L513" s="490"/>
      <c r="M513" s="488">
        <v>12000</v>
      </c>
      <c r="N513" s="488">
        <v>12000</v>
      </c>
      <c r="O513" s="470">
        <f t="shared" si="104"/>
        <v>12000</v>
      </c>
      <c r="P513" s="488"/>
      <c r="Q513" s="622"/>
    </row>
    <row r="514" spans="1:18" ht="16.5">
      <c r="A514" s="173"/>
      <c r="B514" s="201">
        <v>5.0776000000000003</v>
      </c>
      <c r="C514" s="170" t="s">
        <v>1016</v>
      </c>
      <c r="D514" s="490"/>
      <c r="E514" s="488">
        <v>24000</v>
      </c>
      <c r="F514" s="488">
        <f t="shared" si="103"/>
        <v>24000</v>
      </c>
      <c r="G514" s="484">
        <f t="shared" si="97"/>
        <v>24000</v>
      </c>
      <c r="H514" s="488">
        <f>E514</f>
        <v>24000</v>
      </c>
      <c r="I514" s="488"/>
      <c r="J514" s="488"/>
      <c r="K514" s="488"/>
      <c r="L514" s="490"/>
      <c r="M514" s="488">
        <f>12*3000</f>
        <v>36000</v>
      </c>
      <c r="N514" s="488">
        <v>36000</v>
      </c>
      <c r="O514" s="470">
        <f t="shared" si="104"/>
        <v>36000</v>
      </c>
      <c r="P514" s="488"/>
      <c r="Q514" s="622"/>
    </row>
    <row r="515" spans="1:18" ht="303" customHeight="1">
      <c r="A515" s="171"/>
      <c r="B515" s="174"/>
      <c r="C515" s="170" t="s">
        <v>1017</v>
      </c>
      <c r="D515" s="490"/>
      <c r="E515" s="488">
        <v>14880</v>
      </c>
      <c r="F515" s="488">
        <f t="shared" si="103"/>
        <v>10000</v>
      </c>
      <c r="G515" s="484">
        <f t="shared" si="97"/>
        <v>10000</v>
      </c>
      <c r="H515" s="488">
        <v>10000</v>
      </c>
      <c r="I515" s="488"/>
      <c r="J515" s="488"/>
      <c r="K515" s="488"/>
      <c r="L515" s="490"/>
      <c r="M515" s="488">
        <v>18300</v>
      </c>
      <c r="N515" s="488">
        <v>12000</v>
      </c>
      <c r="O515" s="470">
        <f t="shared" si="104"/>
        <v>12000</v>
      </c>
      <c r="P515" s="488"/>
      <c r="Q515" s="357" t="s">
        <v>1018</v>
      </c>
    </row>
    <row r="516" spans="1:18" ht="120">
      <c r="A516" s="173"/>
      <c r="B516" s="201"/>
      <c r="C516" s="170" t="s">
        <v>1019</v>
      </c>
      <c r="D516" s="490"/>
      <c r="E516" s="488">
        <v>88600</v>
      </c>
      <c r="F516" s="488">
        <f t="shared" si="103"/>
        <v>40000</v>
      </c>
      <c r="G516" s="484">
        <f t="shared" si="97"/>
        <v>40000</v>
      </c>
      <c r="H516" s="488">
        <v>40000</v>
      </c>
      <c r="I516" s="488"/>
      <c r="J516" s="488"/>
      <c r="K516" s="488"/>
      <c r="L516" s="490"/>
      <c r="M516" s="488">
        <v>127500</v>
      </c>
      <c r="N516" s="488">
        <v>50000</v>
      </c>
      <c r="O516" s="470">
        <f t="shared" si="104"/>
        <v>50000</v>
      </c>
      <c r="P516" s="488"/>
      <c r="Q516" s="624" t="s">
        <v>1020</v>
      </c>
    </row>
    <row r="517" spans="1:18" ht="137.25" customHeight="1">
      <c r="A517" s="173"/>
      <c r="B517" s="201"/>
      <c r="C517" s="170" t="s">
        <v>1021</v>
      </c>
      <c r="D517" s="490"/>
      <c r="E517" s="488">
        <v>56520</v>
      </c>
      <c r="F517" s="488">
        <f t="shared" si="103"/>
        <v>56520</v>
      </c>
      <c r="G517" s="484">
        <f t="shared" si="97"/>
        <v>56520</v>
      </c>
      <c r="H517" s="488">
        <v>56520</v>
      </c>
      <c r="I517" s="488"/>
      <c r="J517" s="488"/>
      <c r="K517" s="488"/>
      <c r="L517" s="490"/>
      <c r="M517" s="488">
        <v>58980</v>
      </c>
      <c r="N517" s="488">
        <v>54120</v>
      </c>
      <c r="O517" s="470">
        <f t="shared" si="104"/>
        <v>54120</v>
      </c>
      <c r="P517" s="488"/>
      <c r="Q517" s="357" t="s">
        <v>1022</v>
      </c>
    </row>
    <row r="518" spans="1:18" ht="129.75" customHeight="1">
      <c r="A518" s="173"/>
      <c r="B518" s="201"/>
      <c r="C518" s="170" t="s">
        <v>1023</v>
      </c>
      <c r="D518" s="490"/>
      <c r="E518" s="488">
        <v>25500</v>
      </c>
      <c r="F518" s="488">
        <f t="shared" si="103"/>
        <v>15000</v>
      </c>
      <c r="G518" s="484">
        <f t="shared" si="97"/>
        <v>15000</v>
      </c>
      <c r="H518" s="488">
        <v>15000</v>
      </c>
      <c r="I518" s="488"/>
      <c r="J518" s="488"/>
      <c r="K518" s="488"/>
      <c r="L518" s="490"/>
      <c r="M518" s="488">
        <v>25500</v>
      </c>
      <c r="N518" s="488">
        <v>22250</v>
      </c>
      <c r="O518" s="470">
        <f t="shared" si="104"/>
        <v>22250</v>
      </c>
      <c r="P518" s="488"/>
      <c r="Q518" s="357" t="s">
        <v>1024</v>
      </c>
    </row>
    <row r="519" spans="1:18" ht="16.5">
      <c r="A519" s="173"/>
      <c r="B519" s="201"/>
      <c r="C519" s="170"/>
      <c r="D519" s="490"/>
      <c r="E519" s="488"/>
      <c r="F519" s="488">
        <f t="shared" si="103"/>
        <v>0</v>
      </c>
      <c r="G519" s="484"/>
      <c r="H519" s="488"/>
      <c r="I519" s="488"/>
      <c r="J519" s="488"/>
      <c r="K519" s="488"/>
      <c r="L519" s="490"/>
      <c r="M519" s="488"/>
      <c r="N519" s="488"/>
      <c r="O519" s="470">
        <f t="shared" si="104"/>
        <v>0</v>
      </c>
      <c r="P519" s="488"/>
      <c r="Q519" s="622"/>
    </row>
    <row r="520" spans="1:18" ht="60">
      <c r="A520" s="173"/>
      <c r="B520" s="201"/>
      <c r="C520" s="170" t="s">
        <v>1025</v>
      </c>
      <c r="D520" s="490"/>
      <c r="E520" s="488"/>
      <c r="F520" s="488">
        <f t="shared" si="103"/>
        <v>410000</v>
      </c>
      <c r="G520" s="484"/>
      <c r="H520" s="488"/>
      <c r="I520" s="488"/>
      <c r="J520" s="1153">
        <v>410000</v>
      </c>
      <c r="K520" s="488"/>
      <c r="L520" s="490"/>
      <c r="M520" s="488">
        <f>14000+25000+10000</f>
        <v>49000</v>
      </c>
      <c r="N520" s="488"/>
      <c r="O520" s="470">
        <f t="shared" si="104"/>
        <v>0</v>
      </c>
      <c r="P520" s="488"/>
      <c r="Q520" s="1165" t="s">
        <v>1026</v>
      </c>
    </row>
    <row r="521" spans="1:18" ht="255">
      <c r="A521" s="173"/>
      <c r="B521" s="201"/>
      <c r="C521" s="170" t="s">
        <v>1027</v>
      </c>
      <c r="D521" s="490"/>
      <c r="E521" s="488"/>
      <c r="F521" s="488">
        <f t="shared" si="103"/>
        <v>0</v>
      </c>
      <c r="G521" s="484"/>
      <c r="H521" s="488"/>
      <c r="I521" s="488"/>
      <c r="J521" s="1154"/>
      <c r="K521" s="488"/>
      <c r="L521" s="490"/>
      <c r="M521" s="488">
        <v>634300</v>
      </c>
      <c r="N521" s="488"/>
      <c r="O521" s="470">
        <f t="shared" si="104"/>
        <v>0</v>
      </c>
      <c r="P521" s="488"/>
      <c r="Q521" s="1166"/>
    </row>
    <row r="522" spans="1:18" ht="213.75" customHeight="1">
      <c r="A522" s="173"/>
      <c r="B522" s="201"/>
      <c r="C522" s="170" t="s">
        <v>1028</v>
      </c>
      <c r="D522" s="490"/>
      <c r="E522" s="488"/>
      <c r="F522" s="488">
        <f t="shared" si="103"/>
        <v>0</v>
      </c>
      <c r="G522" s="484"/>
      <c r="H522" s="488"/>
      <c r="I522" s="488"/>
      <c r="J522" s="488"/>
      <c r="K522" s="488"/>
      <c r="L522" s="490"/>
      <c r="M522" s="488">
        <v>38050</v>
      </c>
      <c r="N522" s="548">
        <v>20000</v>
      </c>
      <c r="O522" s="470">
        <f t="shared" si="104"/>
        <v>20000</v>
      </c>
      <c r="P522" s="548"/>
      <c r="Q522" s="648" t="s">
        <v>1029</v>
      </c>
    </row>
    <row r="523" spans="1:18" ht="25.5">
      <c r="A523" s="173"/>
      <c r="B523" s="201"/>
      <c r="C523" s="170" t="s">
        <v>1030</v>
      </c>
      <c r="D523" s="490"/>
      <c r="E523" s="488"/>
      <c r="F523" s="488">
        <f t="shared" si="103"/>
        <v>0</v>
      </c>
      <c r="G523" s="484"/>
      <c r="H523" s="488"/>
      <c r="I523" s="488"/>
      <c r="J523" s="488"/>
      <c r="K523" s="488"/>
      <c r="L523" s="490"/>
      <c r="M523" s="488">
        <v>21000</v>
      </c>
      <c r="N523" s="488"/>
      <c r="O523" s="569">
        <f t="shared" si="104"/>
        <v>0</v>
      </c>
      <c r="P523" s="488"/>
      <c r="Q523" s="357" t="s">
        <v>1031</v>
      </c>
    </row>
    <row r="524" spans="1:18" ht="60">
      <c r="A524" s="173"/>
      <c r="B524" s="201"/>
      <c r="C524" s="170" t="s">
        <v>1032</v>
      </c>
      <c r="D524" s="490"/>
      <c r="E524" s="488"/>
      <c r="F524" s="488">
        <f t="shared" si="103"/>
        <v>0</v>
      </c>
      <c r="G524" s="484"/>
      <c r="H524" s="488"/>
      <c r="I524" s="488"/>
      <c r="J524" s="488"/>
      <c r="K524" s="488"/>
      <c r="L524" s="490"/>
      <c r="M524" s="488">
        <v>82000</v>
      </c>
      <c r="N524" s="488"/>
      <c r="O524" s="470">
        <f t="shared" si="104"/>
        <v>0</v>
      </c>
      <c r="P524" s="488"/>
      <c r="Q524" s="357" t="s">
        <v>1033</v>
      </c>
    </row>
    <row r="525" spans="1:18" ht="16.5">
      <c r="A525" s="171">
        <v>3</v>
      </c>
      <c r="B525" s="174"/>
      <c r="C525" s="217" t="s">
        <v>4</v>
      </c>
      <c r="D525" s="490"/>
      <c r="E525" s="491">
        <v>87500000</v>
      </c>
      <c r="F525" s="491">
        <f t="shared" si="103"/>
        <v>96831000</v>
      </c>
      <c r="G525" s="472">
        <f>H525+I525</f>
        <v>94678000</v>
      </c>
      <c r="H525" s="491">
        <v>94678000</v>
      </c>
      <c r="I525" s="491"/>
      <c r="J525" s="491">
        <v>2153000</v>
      </c>
      <c r="K525" s="491"/>
      <c r="L525" s="492"/>
      <c r="M525" s="491">
        <f>M526+M527</f>
        <v>111716000</v>
      </c>
      <c r="N525" s="491">
        <f t="shared" ref="N525:P525" si="105">N526+N527</f>
        <v>111716000</v>
      </c>
      <c r="O525" s="491">
        <f t="shared" si="105"/>
        <v>110716000</v>
      </c>
      <c r="P525" s="491">
        <f t="shared" si="105"/>
        <v>1000000</v>
      </c>
      <c r="Q525" s="634"/>
      <c r="R525" s="119">
        <v>1457000</v>
      </c>
    </row>
    <row r="526" spans="1:18" ht="16.5">
      <c r="A526" s="171" t="s">
        <v>1037</v>
      </c>
      <c r="B526" s="174"/>
      <c r="C526" s="217" t="s">
        <v>1177</v>
      </c>
      <c r="D526" s="490"/>
      <c r="E526" s="491"/>
      <c r="F526" s="491"/>
      <c r="G526" s="472"/>
      <c r="H526" s="491"/>
      <c r="I526" s="491"/>
      <c r="J526" s="491"/>
      <c r="K526" s="491"/>
      <c r="L526" s="492"/>
      <c r="M526" s="491">
        <v>75016000</v>
      </c>
      <c r="N526" s="491">
        <v>75016000</v>
      </c>
      <c r="O526" s="466">
        <v>74016000</v>
      </c>
      <c r="P526" s="491">
        <v>1000000</v>
      </c>
      <c r="Q526" s="634"/>
      <c r="R526" s="119"/>
    </row>
    <row r="527" spans="1:18" ht="63" customHeight="1">
      <c r="A527" s="171" t="s">
        <v>1042</v>
      </c>
      <c r="B527" s="174"/>
      <c r="C527" s="217" t="s">
        <v>1178</v>
      </c>
      <c r="D527" s="490"/>
      <c r="E527" s="491"/>
      <c r="F527" s="491"/>
      <c r="G527" s="472"/>
      <c r="H527" s="491"/>
      <c r="I527" s="491"/>
      <c r="J527" s="491"/>
      <c r="K527" s="491"/>
      <c r="L527" s="492"/>
      <c r="M527" s="491">
        <v>36700000</v>
      </c>
      <c r="N527" s="491">
        <v>36700000</v>
      </c>
      <c r="O527" s="491">
        <v>36700000</v>
      </c>
      <c r="P527" s="491"/>
      <c r="Q527" s="689" t="s">
        <v>1224</v>
      </c>
      <c r="R527" s="119"/>
    </row>
    <row r="528" spans="1:18" ht="16.5">
      <c r="A528" s="171" t="s">
        <v>289</v>
      </c>
      <c r="B528" s="174"/>
      <c r="C528" s="169" t="s">
        <v>1217</v>
      </c>
      <c r="D528" s="471">
        <f t="shared" ref="D528:L528" si="106">(D529)</f>
        <v>0</v>
      </c>
      <c r="E528" s="472" t="e">
        <f t="shared" si="106"/>
        <v>#REF!</v>
      </c>
      <c r="F528" s="472">
        <f t="shared" si="106"/>
        <v>1279878.5255</v>
      </c>
      <c r="G528" s="472">
        <f>H528+I528</f>
        <v>1257728.5255</v>
      </c>
      <c r="H528" s="472">
        <f t="shared" si="106"/>
        <v>1070728.5255</v>
      </c>
      <c r="I528" s="472">
        <f t="shared" si="106"/>
        <v>187000</v>
      </c>
      <c r="J528" s="472">
        <f t="shared" si="106"/>
        <v>22150</v>
      </c>
      <c r="K528" s="472">
        <f t="shared" si="106"/>
        <v>0</v>
      </c>
      <c r="L528" s="471">
        <f t="shared" si="106"/>
        <v>0</v>
      </c>
      <c r="M528" s="472">
        <f>(M529)+M594</f>
        <v>3111911.9859999996</v>
      </c>
      <c r="N528" s="472">
        <f>(N529)+N594</f>
        <v>2940561.9859999996</v>
      </c>
      <c r="O528" s="472">
        <f>(O529)+O594</f>
        <v>2940561.9859999996</v>
      </c>
      <c r="P528" s="472"/>
      <c r="Q528" s="622"/>
      <c r="R528" s="119"/>
    </row>
    <row r="529" spans="1:18" ht="16.5">
      <c r="A529" s="478">
        <v>1</v>
      </c>
      <c r="B529" s="479"/>
      <c r="C529" s="480" t="s">
        <v>1218</v>
      </c>
      <c r="D529" s="471">
        <f t="shared" ref="D529:H529" si="107">D530</f>
        <v>0</v>
      </c>
      <c r="E529" s="472" t="e">
        <f t="shared" si="107"/>
        <v>#REF!</v>
      </c>
      <c r="F529" s="472">
        <f t="shared" si="107"/>
        <v>1279878.5255</v>
      </c>
      <c r="G529" s="472">
        <f t="shared" si="97"/>
        <v>1257728.5255</v>
      </c>
      <c r="H529" s="472">
        <f t="shared" si="107"/>
        <v>1070728.5255</v>
      </c>
      <c r="I529" s="472">
        <f>I530</f>
        <v>187000</v>
      </c>
      <c r="J529" s="472">
        <f>J530</f>
        <v>22150</v>
      </c>
      <c r="K529" s="472">
        <f t="shared" ref="K529:M529" si="108">K530</f>
        <v>0</v>
      </c>
      <c r="L529" s="471">
        <f t="shared" si="108"/>
        <v>0</v>
      </c>
      <c r="M529" s="472">
        <f t="shared" si="108"/>
        <v>1589217.6869999999</v>
      </c>
      <c r="N529" s="472">
        <f>N530</f>
        <v>1509167.6869999999</v>
      </c>
      <c r="O529" s="466">
        <f t="shared" si="104"/>
        <v>1509167.6869999999</v>
      </c>
      <c r="P529" s="472"/>
      <c r="Q529" s="622"/>
    </row>
    <row r="530" spans="1:18" ht="16.5">
      <c r="A530" s="171"/>
      <c r="B530" s="174"/>
      <c r="C530" s="169" t="s">
        <v>11</v>
      </c>
      <c r="D530" s="471">
        <f>D534+D541+D542</f>
        <v>0</v>
      </c>
      <c r="E530" s="472" t="e">
        <f>E534+E541+E542</f>
        <v>#REF!</v>
      </c>
      <c r="F530" s="472">
        <f t="shared" ref="F530:F533" si="109">G530+J530</f>
        <v>1279878.5255</v>
      </c>
      <c r="G530" s="472">
        <f>H530+I530</f>
        <v>1257728.5255</v>
      </c>
      <c r="H530" s="472">
        <f>H534+H541+H542-H533</f>
        <v>1070728.5255</v>
      </c>
      <c r="I530" s="472">
        <f>I534+I541+I542</f>
        <v>187000</v>
      </c>
      <c r="J530" s="472">
        <f>J534+J541+J542</f>
        <v>22150</v>
      </c>
      <c r="K530" s="472">
        <f t="shared" ref="K530:L530" si="110">K534+K541+K542</f>
        <v>0</v>
      </c>
      <c r="L530" s="471">
        <f t="shared" si="110"/>
        <v>0</v>
      </c>
      <c r="M530" s="472">
        <f>M534+M541+M542-M533</f>
        <v>1589217.6869999999</v>
      </c>
      <c r="N530" s="472">
        <f>N534+N541+N542-N533</f>
        <v>1509167.6869999999</v>
      </c>
      <c r="O530" s="466">
        <f t="shared" si="104"/>
        <v>1509167.6869999999</v>
      </c>
      <c r="P530" s="472"/>
      <c r="Q530" s="622"/>
    </row>
    <row r="531" spans="1:18" ht="16.5">
      <c r="A531" s="171"/>
      <c r="B531" s="174"/>
      <c r="C531" s="169" t="s">
        <v>430</v>
      </c>
      <c r="D531" s="490"/>
      <c r="E531" s="491">
        <v>400000</v>
      </c>
      <c r="F531" s="472">
        <f t="shared" si="109"/>
        <v>400000</v>
      </c>
      <c r="G531" s="472">
        <f t="shared" si="97"/>
        <v>400000</v>
      </c>
      <c r="H531" s="491">
        <v>400000</v>
      </c>
      <c r="I531" s="491"/>
      <c r="J531" s="491"/>
      <c r="K531" s="491"/>
      <c r="L531" s="492"/>
      <c r="M531" s="491">
        <v>400000</v>
      </c>
      <c r="N531" s="491">
        <v>400000</v>
      </c>
      <c r="O531" s="466">
        <f t="shared" si="104"/>
        <v>400000</v>
      </c>
      <c r="P531" s="491"/>
      <c r="Q531" s="624" t="s">
        <v>711</v>
      </c>
    </row>
    <row r="532" spans="1:18" ht="16.5">
      <c r="A532" s="171"/>
      <c r="B532" s="174"/>
      <c r="C532" s="169" t="s">
        <v>431</v>
      </c>
      <c r="D532" s="490"/>
      <c r="E532" s="491">
        <v>300000</v>
      </c>
      <c r="F532" s="472">
        <f t="shared" si="109"/>
        <v>300000</v>
      </c>
      <c r="G532" s="472">
        <f t="shared" si="97"/>
        <v>300000</v>
      </c>
      <c r="H532" s="491">
        <v>300000</v>
      </c>
      <c r="I532" s="491"/>
      <c r="J532" s="491"/>
      <c r="K532" s="491"/>
      <c r="L532" s="492"/>
      <c r="M532" s="491">
        <v>300000</v>
      </c>
      <c r="N532" s="491">
        <v>300000</v>
      </c>
      <c r="O532" s="466">
        <f t="shared" si="104"/>
        <v>300000</v>
      </c>
      <c r="P532" s="491"/>
      <c r="Q532" s="624"/>
    </row>
    <row r="533" spans="1:18" ht="16.5">
      <c r="A533" s="171"/>
      <c r="B533" s="174"/>
      <c r="C533" s="169" t="s">
        <v>432</v>
      </c>
      <c r="D533" s="490"/>
      <c r="E533" s="491">
        <f>E531-E532</f>
        <v>100000</v>
      </c>
      <c r="F533" s="472">
        <f t="shared" si="109"/>
        <v>100000</v>
      </c>
      <c r="G533" s="491">
        <f>G531-G532</f>
        <v>100000</v>
      </c>
      <c r="H533" s="491">
        <f>H531-H532</f>
        <v>100000</v>
      </c>
      <c r="I533" s="491"/>
      <c r="J533" s="491"/>
      <c r="K533" s="491"/>
      <c r="L533" s="492"/>
      <c r="M533" s="491">
        <f>M531-M532</f>
        <v>100000</v>
      </c>
      <c r="N533" s="491">
        <f>N531-N532</f>
        <v>100000</v>
      </c>
      <c r="O533" s="466">
        <f t="shared" si="104"/>
        <v>100000</v>
      </c>
      <c r="P533" s="491"/>
      <c r="Q533" s="624"/>
    </row>
    <row r="534" spans="1:18" ht="16.5">
      <c r="A534" s="171" t="s">
        <v>1066</v>
      </c>
      <c r="B534" s="174"/>
      <c r="C534" s="169" t="s">
        <v>377</v>
      </c>
      <c r="D534" s="471"/>
      <c r="E534" s="472">
        <f>E535+E538</f>
        <v>689002.8600000001</v>
      </c>
      <c r="F534" s="472">
        <f>G534+J534</f>
        <v>711152.8600000001</v>
      </c>
      <c r="G534" s="472">
        <f t="shared" si="97"/>
        <v>689002.8600000001</v>
      </c>
      <c r="H534" s="472">
        <f>H535+H538</f>
        <v>689002.8600000001</v>
      </c>
      <c r="I534" s="472">
        <f t="shared" ref="I534:K534" si="111">I535+I538</f>
        <v>0</v>
      </c>
      <c r="J534" s="472">
        <f t="shared" si="111"/>
        <v>22150</v>
      </c>
      <c r="K534" s="472">
        <f t="shared" si="111"/>
        <v>0</v>
      </c>
      <c r="L534" s="471"/>
      <c r="M534" s="472">
        <f>M535+M538</f>
        <v>737884.83600000001</v>
      </c>
      <c r="N534" s="472">
        <f>N535+N538</f>
        <v>737884.83600000001</v>
      </c>
      <c r="O534" s="466">
        <f t="shared" si="104"/>
        <v>737884.83600000001</v>
      </c>
      <c r="P534" s="472"/>
      <c r="Q534" s="622"/>
    </row>
    <row r="535" spans="1:18" ht="16.5">
      <c r="A535" s="171"/>
      <c r="B535" s="174"/>
      <c r="C535" s="169" t="s">
        <v>460</v>
      </c>
      <c r="D535" s="471"/>
      <c r="E535" s="472">
        <f>E536+E537</f>
        <v>689002.8600000001</v>
      </c>
      <c r="F535" s="472">
        <f t="shared" ref="F535:F585" si="112">G535+J535</f>
        <v>711152.8600000001</v>
      </c>
      <c r="G535" s="472">
        <f t="shared" si="97"/>
        <v>689002.8600000001</v>
      </c>
      <c r="H535" s="472">
        <f>H536+H537</f>
        <v>689002.8600000001</v>
      </c>
      <c r="I535" s="472">
        <f t="shared" ref="I535:K535" si="113">I536+I537</f>
        <v>0</v>
      </c>
      <c r="J535" s="472">
        <f>J536+J537</f>
        <v>22150</v>
      </c>
      <c r="K535" s="472">
        <f t="shared" si="113"/>
        <v>0</v>
      </c>
      <c r="L535" s="471"/>
      <c r="M535" s="472">
        <f>M536+M537</f>
        <v>689681.304</v>
      </c>
      <c r="N535" s="472">
        <f>N536+N537</f>
        <v>689681.304</v>
      </c>
      <c r="O535" s="466">
        <f t="shared" si="104"/>
        <v>689681.304</v>
      </c>
      <c r="P535" s="472"/>
      <c r="Q535" s="622"/>
    </row>
    <row r="536" spans="1:18" ht="16.5">
      <c r="A536" s="171"/>
      <c r="B536" s="174"/>
      <c r="C536" s="170" t="s">
        <v>1034</v>
      </c>
      <c r="D536" s="489">
        <f>34.21+0.5+1+0.1+0.2</f>
        <v>36.010000000000005</v>
      </c>
      <c r="E536" s="488">
        <f>D536*1300*12</f>
        <v>561756.00000000012</v>
      </c>
      <c r="F536" s="484">
        <f t="shared" si="112"/>
        <v>583906.00000000012</v>
      </c>
      <c r="G536" s="484">
        <f t="shared" si="97"/>
        <v>561756.00000000012</v>
      </c>
      <c r="H536" s="488">
        <f>E536</f>
        <v>561756.00000000012</v>
      </c>
      <c r="I536" s="488"/>
      <c r="J536" s="488">
        <v>22150</v>
      </c>
      <c r="K536" s="488"/>
      <c r="L536" s="489">
        <f>31.78+0.5+0.9+0.1+0.2</f>
        <v>33.480000000000004</v>
      </c>
      <c r="M536" s="488">
        <f>L536*1390*12</f>
        <v>558446.4</v>
      </c>
      <c r="N536" s="488">
        <f>M536</f>
        <v>558446.4</v>
      </c>
      <c r="O536" s="470">
        <f t="shared" si="104"/>
        <v>558446.4</v>
      </c>
      <c r="P536" s="488"/>
      <c r="Q536" s="622"/>
    </row>
    <row r="537" spans="1:18" ht="16.5">
      <c r="A537" s="173"/>
      <c r="B537" s="174"/>
      <c r="C537" s="170" t="s">
        <v>733</v>
      </c>
      <c r="D537" s="489">
        <f>(34.21+0.5)*23.5%</f>
        <v>8.1568500000000004</v>
      </c>
      <c r="E537" s="488">
        <f>D537*1300*12</f>
        <v>127246.86000000002</v>
      </c>
      <c r="F537" s="484">
        <f t="shared" si="112"/>
        <v>127246.86000000002</v>
      </c>
      <c r="G537" s="484">
        <f t="shared" si="97"/>
        <v>127246.86000000002</v>
      </c>
      <c r="H537" s="488">
        <f>E537</f>
        <v>127246.86000000002</v>
      </c>
      <c r="I537" s="488"/>
      <c r="J537" s="488"/>
      <c r="K537" s="488"/>
      <c r="L537" s="489">
        <f>(31.78+0.5+0.9+0.1+0.2)*23.5%</f>
        <v>7.8678000000000008</v>
      </c>
      <c r="M537" s="488">
        <f>L537*1390*12</f>
        <v>131234.90400000004</v>
      </c>
      <c r="N537" s="488">
        <f>M537</f>
        <v>131234.90400000004</v>
      </c>
      <c r="O537" s="470">
        <f t="shared" si="104"/>
        <v>131234.90400000004</v>
      </c>
      <c r="P537" s="488"/>
      <c r="Q537" s="622"/>
    </row>
    <row r="538" spans="1:18" ht="16.5">
      <c r="A538" s="173"/>
      <c r="B538" s="174"/>
      <c r="C538" s="169" t="s">
        <v>1035</v>
      </c>
      <c r="D538" s="490"/>
      <c r="E538" s="488"/>
      <c r="F538" s="472">
        <f t="shared" si="112"/>
        <v>0</v>
      </c>
      <c r="G538" s="472">
        <f t="shared" si="97"/>
        <v>0</v>
      </c>
      <c r="H538" s="488"/>
      <c r="I538" s="488"/>
      <c r="J538" s="488"/>
      <c r="K538" s="488"/>
      <c r="L538" s="490"/>
      <c r="M538" s="491">
        <f>M539+M540</f>
        <v>48203.531999999992</v>
      </c>
      <c r="N538" s="491">
        <f>N539+N540</f>
        <v>48203.531999999992</v>
      </c>
      <c r="O538" s="466">
        <f t="shared" si="104"/>
        <v>48203.531999999992</v>
      </c>
      <c r="P538" s="491"/>
      <c r="Q538" s="622"/>
    </row>
    <row r="539" spans="1:18" ht="16.5">
      <c r="A539" s="173"/>
      <c r="B539" s="174"/>
      <c r="C539" s="170" t="s">
        <v>1036</v>
      </c>
      <c r="D539" s="490"/>
      <c r="E539" s="488"/>
      <c r="F539" s="472">
        <f t="shared" si="112"/>
        <v>0</v>
      </c>
      <c r="G539" s="472">
        <f t="shared" si="97"/>
        <v>0</v>
      </c>
      <c r="H539" s="488"/>
      <c r="I539" s="488"/>
      <c r="J539" s="488"/>
      <c r="K539" s="488"/>
      <c r="L539" s="489">
        <v>2.34</v>
      </c>
      <c r="M539" s="488">
        <f>L539*1390*12</f>
        <v>39031.199999999997</v>
      </c>
      <c r="N539" s="488">
        <f>M539</f>
        <v>39031.199999999997</v>
      </c>
      <c r="O539" s="470">
        <f t="shared" si="104"/>
        <v>39031.199999999997</v>
      </c>
      <c r="P539" s="488"/>
      <c r="Q539" s="622"/>
    </row>
    <row r="540" spans="1:18" ht="16.5">
      <c r="A540" s="173"/>
      <c r="B540" s="174"/>
      <c r="C540" s="170" t="s">
        <v>175</v>
      </c>
      <c r="D540" s="490"/>
      <c r="E540" s="488"/>
      <c r="F540" s="472">
        <f t="shared" si="112"/>
        <v>0</v>
      </c>
      <c r="G540" s="472">
        <f t="shared" si="97"/>
        <v>0</v>
      </c>
      <c r="H540" s="488"/>
      <c r="I540" s="488"/>
      <c r="J540" s="488"/>
      <c r="K540" s="488"/>
      <c r="L540" s="489">
        <f>2.34*23.5%</f>
        <v>0.54989999999999994</v>
      </c>
      <c r="M540" s="488">
        <f>L540*1390*12</f>
        <v>9172.3319999999985</v>
      </c>
      <c r="N540" s="488">
        <f>M540</f>
        <v>9172.3319999999985</v>
      </c>
      <c r="O540" s="470">
        <f t="shared" si="104"/>
        <v>9172.3319999999985</v>
      </c>
      <c r="P540" s="488"/>
      <c r="Q540" s="622"/>
    </row>
    <row r="541" spans="1:18" ht="16.5">
      <c r="A541" s="171" t="s">
        <v>1076</v>
      </c>
      <c r="B541" s="172"/>
      <c r="C541" s="169" t="s">
        <v>461</v>
      </c>
      <c r="D541" s="490"/>
      <c r="E541" s="491">
        <f>(D536+D537)*1210*12*20/80</f>
        <v>160325.6655</v>
      </c>
      <c r="F541" s="472">
        <f t="shared" si="112"/>
        <v>160325.6655</v>
      </c>
      <c r="G541" s="472">
        <f>H541+I541</f>
        <v>160325.6655</v>
      </c>
      <c r="H541" s="491">
        <f>E541</f>
        <v>160325.6655</v>
      </c>
      <c r="I541" s="491"/>
      <c r="J541" s="491"/>
      <c r="K541" s="491"/>
      <c r="L541" s="492"/>
      <c r="M541" s="491">
        <f>(L536+L537+L539+L540)*1210*20/80*12</f>
        <v>160582.85100000002</v>
      </c>
      <c r="N541" s="491">
        <f>M541</f>
        <v>160582.85100000002</v>
      </c>
      <c r="O541" s="466">
        <f t="shared" si="104"/>
        <v>160582.85100000002</v>
      </c>
      <c r="P541" s="491"/>
      <c r="Q541" s="622"/>
    </row>
    <row r="542" spans="1:18" ht="16.5">
      <c r="A542" s="171" t="s">
        <v>1204</v>
      </c>
      <c r="B542" s="172"/>
      <c r="C542" s="169" t="s">
        <v>380</v>
      </c>
      <c r="D542" s="492">
        <f>D543+D548+D592</f>
        <v>0</v>
      </c>
      <c r="E542" s="464" t="e">
        <f>E543+E548+E592</f>
        <v>#REF!</v>
      </c>
      <c r="F542" s="472">
        <f t="shared" si="112"/>
        <v>508400</v>
      </c>
      <c r="G542" s="472">
        <f t="shared" si="97"/>
        <v>508400</v>
      </c>
      <c r="H542" s="464">
        <f t="shared" ref="H542:M542" si="114">H543+H548+H592</f>
        <v>321400</v>
      </c>
      <c r="I542" s="464">
        <f t="shared" si="114"/>
        <v>187000</v>
      </c>
      <c r="J542" s="464">
        <f t="shared" si="114"/>
        <v>0</v>
      </c>
      <c r="K542" s="464">
        <f t="shared" si="114"/>
        <v>0</v>
      </c>
      <c r="L542" s="492">
        <f t="shared" si="114"/>
        <v>0</v>
      </c>
      <c r="M542" s="464">
        <f t="shared" si="114"/>
        <v>790750</v>
      </c>
      <c r="N542" s="464">
        <f>N543+N548+N592</f>
        <v>710700</v>
      </c>
      <c r="O542" s="466">
        <f t="shared" si="104"/>
        <v>710700</v>
      </c>
      <c r="P542" s="464"/>
      <c r="Q542" s="643"/>
      <c r="R542" s="116">
        <f>G542-G543</f>
        <v>418900</v>
      </c>
    </row>
    <row r="543" spans="1:18" ht="16.5">
      <c r="A543" s="171" t="s">
        <v>1205</v>
      </c>
      <c r="B543" s="172"/>
      <c r="C543" s="169" t="s">
        <v>139</v>
      </c>
      <c r="D543" s="490"/>
      <c r="E543" s="472">
        <f>SUM(E544:E545)</f>
        <v>89500</v>
      </c>
      <c r="F543" s="472">
        <f t="shared" si="112"/>
        <v>89500</v>
      </c>
      <c r="G543" s="472">
        <f t="shared" si="97"/>
        <v>89500</v>
      </c>
      <c r="H543" s="472">
        <f t="shared" ref="H543:N543" si="115">SUM(H544:H545)</f>
        <v>89500</v>
      </c>
      <c r="I543" s="472">
        <f t="shared" si="115"/>
        <v>0</v>
      </c>
      <c r="J543" s="472">
        <f t="shared" si="115"/>
        <v>0</v>
      </c>
      <c r="K543" s="472">
        <f t="shared" si="115"/>
        <v>0</v>
      </c>
      <c r="L543" s="471">
        <f t="shared" si="115"/>
        <v>0</v>
      </c>
      <c r="M543" s="472">
        <f t="shared" si="115"/>
        <v>101500</v>
      </c>
      <c r="N543" s="472">
        <f t="shared" si="115"/>
        <v>101500</v>
      </c>
      <c r="O543" s="466">
        <f t="shared" si="104"/>
        <v>101500</v>
      </c>
      <c r="P543" s="472"/>
      <c r="Q543" s="622"/>
    </row>
    <row r="544" spans="1:18" ht="30">
      <c r="A544" s="171"/>
      <c r="B544" s="172"/>
      <c r="C544" s="170" t="s">
        <v>1038</v>
      </c>
      <c r="D544" s="490"/>
      <c r="E544" s="488">
        <v>48000</v>
      </c>
      <c r="F544" s="484">
        <f t="shared" si="112"/>
        <v>48000</v>
      </c>
      <c r="G544" s="484">
        <f t="shared" si="97"/>
        <v>48000</v>
      </c>
      <c r="H544" s="488">
        <f>E544</f>
        <v>48000</v>
      </c>
      <c r="I544" s="488"/>
      <c r="J544" s="488"/>
      <c r="K544" s="488"/>
      <c r="L544" s="490"/>
      <c r="M544" s="488">
        <f>5000*12</f>
        <v>60000</v>
      </c>
      <c r="N544" s="488">
        <f>M544</f>
        <v>60000</v>
      </c>
      <c r="O544" s="470">
        <f>N544</f>
        <v>60000</v>
      </c>
      <c r="P544" s="488"/>
      <c r="Q544" s="622"/>
    </row>
    <row r="545" spans="1:18" ht="16.5">
      <c r="A545" s="171"/>
      <c r="B545" s="172"/>
      <c r="C545" s="170" t="s">
        <v>608</v>
      </c>
      <c r="D545" s="490"/>
      <c r="E545" s="488">
        <f>5000+4500+8*4000</f>
        <v>41500</v>
      </c>
      <c r="F545" s="484">
        <f t="shared" si="112"/>
        <v>41500</v>
      </c>
      <c r="G545" s="484">
        <f t="shared" si="97"/>
        <v>41500</v>
      </c>
      <c r="H545" s="488">
        <v>41500</v>
      </c>
      <c r="I545" s="488"/>
      <c r="J545" s="488"/>
      <c r="K545" s="488"/>
      <c r="L545" s="490"/>
      <c r="M545" s="488">
        <v>41500</v>
      </c>
      <c r="N545" s="548">
        <v>41500</v>
      </c>
      <c r="O545" s="550">
        <f t="shared" si="104"/>
        <v>41500</v>
      </c>
      <c r="P545" s="551"/>
      <c r="Q545" s="649"/>
    </row>
    <row r="546" spans="1:18" ht="16.5">
      <c r="A546" s="171"/>
      <c r="B546" s="172"/>
      <c r="C546" s="170" t="s">
        <v>1039</v>
      </c>
      <c r="D546" s="490"/>
      <c r="E546" s="488"/>
      <c r="F546" s="484"/>
      <c r="G546" s="484"/>
      <c r="H546" s="488"/>
      <c r="I546" s="488"/>
      <c r="J546" s="488"/>
      <c r="K546" s="488"/>
      <c r="L546" s="490"/>
      <c r="M546" s="488">
        <f>20000</f>
        <v>20000</v>
      </c>
      <c r="N546" s="549"/>
      <c r="O546" s="470"/>
      <c r="P546" s="549"/>
      <c r="Q546" s="1188" t="s">
        <v>1040</v>
      </c>
    </row>
    <row r="547" spans="1:18" ht="30">
      <c r="A547" s="171"/>
      <c r="B547" s="172"/>
      <c r="C547" s="170" t="s">
        <v>1041</v>
      </c>
      <c r="D547" s="490"/>
      <c r="E547" s="488"/>
      <c r="F547" s="484"/>
      <c r="G547" s="484"/>
      <c r="H547" s="488"/>
      <c r="I547" s="488"/>
      <c r="J547" s="488"/>
      <c r="K547" s="488"/>
      <c r="L547" s="490"/>
      <c r="M547" s="488">
        <f>10*300*5</f>
        <v>15000</v>
      </c>
      <c r="N547" s="549"/>
      <c r="O547" s="470"/>
      <c r="P547" s="549"/>
      <c r="Q547" s="1189"/>
    </row>
    <row r="548" spans="1:18" ht="16.5">
      <c r="A548" s="171" t="s">
        <v>1206</v>
      </c>
      <c r="B548" s="206">
        <f>(31.52+0.5)*24%</f>
        <v>7.6847999999999992</v>
      </c>
      <c r="C548" s="169" t="s">
        <v>6</v>
      </c>
      <c r="D548" s="490"/>
      <c r="E548" s="472">
        <f>E549+E566+E572</f>
        <v>683880</v>
      </c>
      <c r="F548" s="472">
        <f t="shared" si="112"/>
        <v>418900</v>
      </c>
      <c r="G548" s="472">
        <f>H548+I548</f>
        <v>418900</v>
      </c>
      <c r="H548" s="472">
        <f>H549+H566+H572+H588</f>
        <v>231900</v>
      </c>
      <c r="I548" s="472">
        <f>I549+I566+I572+I588</f>
        <v>187000</v>
      </c>
      <c r="J548" s="472">
        <f>J549+J566+J572+J588</f>
        <v>0</v>
      </c>
      <c r="K548" s="472">
        <f>K549+K566+K572</f>
        <v>0</v>
      </c>
      <c r="L548" s="471">
        <f>L549+L566+L572</f>
        <v>0</v>
      </c>
      <c r="M548" s="472">
        <f>M549+M566+M572+M588</f>
        <v>640150</v>
      </c>
      <c r="N548" s="472">
        <f>N549+N566+N572+N588</f>
        <v>560100</v>
      </c>
      <c r="O548" s="466">
        <f t="shared" si="104"/>
        <v>560100</v>
      </c>
      <c r="P548" s="472"/>
      <c r="Q548" s="622"/>
    </row>
    <row r="549" spans="1:18" ht="16.5">
      <c r="A549" s="171" t="s">
        <v>1219</v>
      </c>
      <c r="B549" s="172"/>
      <c r="C549" s="169" t="s">
        <v>405</v>
      </c>
      <c r="D549" s="490"/>
      <c r="E549" s="491">
        <f>SUM(E550:E564)</f>
        <v>180880</v>
      </c>
      <c r="F549" s="472">
        <f t="shared" si="112"/>
        <v>111900</v>
      </c>
      <c r="G549" s="472">
        <f t="shared" ref="G549:G591" si="116">H549+I549</f>
        <v>111900</v>
      </c>
      <c r="H549" s="491">
        <f>SUM(H550:H564)</f>
        <v>91900</v>
      </c>
      <c r="I549" s="491">
        <f>SUM(I550:I564)</f>
        <v>20000</v>
      </c>
      <c r="J549" s="491">
        <f>SUM(J550:J564)</f>
        <v>0</v>
      </c>
      <c r="K549" s="491">
        <f>SUM(K550:K564)</f>
        <v>0</v>
      </c>
      <c r="L549" s="492">
        <f>SUM(L550:L564)</f>
        <v>0</v>
      </c>
      <c r="M549" s="491">
        <f>SUM(M550:M565)</f>
        <v>210150</v>
      </c>
      <c r="N549" s="491">
        <f>SUM(N550:N565)</f>
        <v>170100</v>
      </c>
      <c r="O549" s="466">
        <f t="shared" si="104"/>
        <v>170100</v>
      </c>
      <c r="P549" s="491"/>
      <c r="Q549" s="622"/>
    </row>
    <row r="550" spans="1:18" ht="83.25" customHeight="1">
      <c r="A550" s="173">
        <v>1</v>
      </c>
      <c r="B550" s="172"/>
      <c r="C550" s="170" t="s">
        <v>313</v>
      </c>
      <c r="D550" s="490"/>
      <c r="E550" s="488">
        <v>19000</v>
      </c>
      <c r="F550" s="484">
        <f t="shared" si="112"/>
        <v>14000</v>
      </c>
      <c r="G550" s="484">
        <f t="shared" si="116"/>
        <v>14000</v>
      </c>
      <c r="H550" s="488">
        <v>14000</v>
      </c>
      <c r="I550" s="488"/>
      <c r="J550" s="488"/>
      <c r="K550" s="488"/>
      <c r="L550" s="490"/>
      <c r="M550" s="488">
        <v>19000</v>
      </c>
      <c r="N550" s="488">
        <v>14000</v>
      </c>
      <c r="O550" s="470">
        <f t="shared" si="104"/>
        <v>14000</v>
      </c>
      <c r="P550" s="552"/>
      <c r="Q550" s="357" t="s">
        <v>313</v>
      </c>
      <c r="R550" s="340"/>
    </row>
    <row r="551" spans="1:18" ht="26.25">
      <c r="A551" s="173">
        <v>2</v>
      </c>
      <c r="B551" s="174"/>
      <c r="C551" s="170" t="s">
        <v>609</v>
      </c>
      <c r="D551" s="490"/>
      <c r="E551" s="488">
        <v>19500</v>
      </c>
      <c r="F551" s="484">
        <f t="shared" si="112"/>
        <v>17500</v>
      </c>
      <c r="G551" s="484">
        <f t="shared" si="116"/>
        <v>17500</v>
      </c>
      <c r="H551" s="488">
        <v>17500</v>
      </c>
      <c r="I551" s="488"/>
      <c r="J551" s="488"/>
      <c r="K551" s="488"/>
      <c r="L551" s="490"/>
      <c r="M551" s="488">
        <v>19500</v>
      </c>
      <c r="N551" s="488">
        <v>17250</v>
      </c>
      <c r="O551" s="470">
        <f t="shared" si="104"/>
        <v>17250</v>
      </c>
      <c r="P551" s="488"/>
      <c r="Q551" s="634" t="s">
        <v>1043</v>
      </c>
    </row>
    <row r="552" spans="1:18" ht="16.5">
      <c r="A552" s="173">
        <v>3</v>
      </c>
      <c r="B552" s="174"/>
      <c r="C552" s="170" t="s">
        <v>53</v>
      </c>
      <c r="D552" s="490"/>
      <c r="E552" s="488">
        <v>8500</v>
      </c>
      <c r="F552" s="484">
        <f t="shared" si="112"/>
        <v>8500</v>
      </c>
      <c r="G552" s="484">
        <f t="shared" si="116"/>
        <v>8500</v>
      </c>
      <c r="H552" s="488">
        <v>8500</v>
      </c>
      <c r="I552" s="488"/>
      <c r="J552" s="488"/>
      <c r="K552" s="488"/>
      <c r="L552" s="490"/>
      <c r="M552" s="488">
        <v>8500</v>
      </c>
      <c r="N552" s="488">
        <f>8500</f>
        <v>8500</v>
      </c>
      <c r="O552" s="470">
        <f t="shared" si="104"/>
        <v>8500</v>
      </c>
      <c r="P552" s="488"/>
      <c r="Q552" s="622"/>
    </row>
    <row r="553" spans="1:18" ht="16.5">
      <c r="A553" s="173">
        <v>4</v>
      </c>
      <c r="B553" s="174"/>
      <c r="C553" s="170" t="s">
        <v>54</v>
      </c>
      <c r="D553" s="490"/>
      <c r="E553" s="488">
        <v>8000</v>
      </c>
      <c r="F553" s="484">
        <f t="shared" si="112"/>
        <v>8000</v>
      </c>
      <c r="G553" s="484">
        <f t="shared" si="116"/>
        <v>8000</v>
      </c>
      <c r="H553" s="488">
        <v>8000</v>
      </c>
      <c r="I553" s="488"/>
      <c r="J553" s="488"/>
      <c r="K553" s="488"/>
      <c r="L553" s="490"/>
      <c r="M553" s="488">
        <v>8000</v>
      </c>
      <c r="N553" s="488">
        <v>8000</v>
      </c>
      <c r="O553" s="470">
        <f t="shared" si="104"/>
        <v>8000</v>
      </c>
      <c r="P553" s="488"/>
      <c r="Q553" s="622"/>
    </row>
    <row r="554" spans="1:18" ht="16.5">
      <c r="A554" s="173">
        <v>5</v>
      </c>
      <c r="B554" s="174"/>
      <c r="C554" s="170" t="s">
        <v>611</v>
      </c>
      <c r="D554" s="490"/>
      <c r="E554" s="488">
        <f>5*12*25</f>
        <v>1500</v>
      </c>
      <c r="F554" s="484">
        <f t="shared" si="112"/>
        <v>1500</v>
      </c>
      <c r="G554" s="484">
        <f t="shared" si="116"/>
        <v>1500</v>
      </c>
      <c r="H554" s="488">
        <v>1500</v>
      </c>
      <c r="I554" s="488"/>
      <c r="J554" s="488"/>
      <c r="K554" s="488"/>
      <c r="L554" s="490"/>
      <c r="M554" s="488">
        <v>1500</v>
      </c>
      <c r="N554" s="488">
        <v>1500</v>
      </c>
      <c r="O554" s="470">
        <f t="shared" si="104"/>
        <v>1500</v>
      </c>
      <c r="P554" s="488"/>
      <c r="Q554" s="622"/>
    </row>
    <row r="555" spans="1:18" ht="45">
      <c r="A555" s="173">
        <v>6</v>
      </c>
      <c r="B555" s="174"/>
      <c r="C555" s="170" t="s">
        <v>612</v>
      </c>
      <c r="D555" s="490"/>
      <c r="E555" s="488">
        <f>6*15*25</f>
        <v>2250</v>
      </c>
      <c r="F555" s="484">
        <f t="shared" si="112"/>
        <v>2250</v>
      </c>
      <c r="G555" s="484">
        <f t="shared" si="116"/>
        <v>2250</v>
      </c>
      <c r="H555" s="488">
        <v>2250</v>
      </c>
      <c r="I555" s="488"/>
      <c r="J555" s="488"/>
      <c r="K555" s="488"/>
      <c r="L555" s="490"/>
      <c r="M555" s="488">
        <v>2250</v>
      </c>
      <c r="N555" s="488">
        <v>2250</v>
      </c>
      <c r="O555" s="470">
        <f t="shared" si="104"/>
        <v>2250</v>
      </c>
      <c r="P555" s="488"/>
      <c r="Q555" s="622"/>
    </row>
    <row r="556" spans="1:18" ht="75">
      <c r="A556" s="173">
        <v>8</v>
      </c>
      <c r="B556" s="174"/>
      <c r="C556" s="170" t="s">
        <v>1044</v>
      </c>
      <c r="D556" s="490"/>
      <c r="E556" s="488">
        <v>24250</v>
      </c>
      <c r="F556" s="484">
        <f t="shared" si="112"/>
        <v>4750</v>
      </c>
      <c r="G556" s="484">
        <f t="shared" si="116"/>
        <v>4750</v>
      </c>
      <c r="H556" s="488">
        <v>4750</v>
      </c>
      <c r="I556" s="488"/>
      <c r="J556" s="488"/>
      <c r="K556" s="488"/>
      <c r="L556" s="490"/>
      <c r="M556" s="488">
        <v>22100</v>
      </c>
      <c r="N556" s="488">
        <v>5700</v>
      </c>
      <c r="O556" s="470">
        <f t="shared" si="104"/>
        <v>5700</v>
      </c>
      <c r="P556" s="488"/>
      <c r="Q556" s="622" t="s">
        <v>1045</v>
      </c>
    </row>
    <row r="557" spans="1:18" ht="16.5">
      <c r="A557" s="173">
        <v>9</v>
      </c>
      <c r="B557" s="174"/>
      <c r="C557" s="170" t="s">
        <v>613</v>
      </c>
      <c r="D557" s="490"/>
      <c r="E557" s="488">
        <v>1500</v>
      </c>
      <c r="F557" s="484">
        <f t="shared" si="112"/>
        <v>1500</v>
      </c>
      <c r="G557" s="484">
        <f t="shared" si="116"/>
        <v>1500</v>
      </c>
      <c r="H557" s="488">
        <v>1500</v>
      </c>
      <c r="I557" s="488"/>
      <c r="J557" s="488"/>
      <c r="K557" s="488"/>
      <c r="L557" s="490"/>
      <c r="M557" s="488">
        <v>1500</v>
      </c>
      <c r="N557" s="488">
        <v>1500</v>
      </c>
      <c r="O557" s="470">
        <f t="shared" si="104"/>
        <v>1500</v>
      </c>
      <c r="P557" s="488"/>
      <c r="Q557" s="622"/>
    </row>
    <row r="558" spans="1:18" ht="45">
      <c r="A558" s="173">
        <v>10</v>
      </c>
      <c r="B558" s="174"/>
      <c r="C558" s="170" t="s">
        <v>1046</v>
      </c>
      <c r="D558" s="490"/>
      <c r="E558" s="488">
        <f>10*1350</f>
        <v>13500</v>
      </c>
      <c r="F558" s="484">
        <f t="shared" si="112"/>
        <v>8100</v>
      </c>
      <c r="G558" s="484">
        <f t="shared" si="116"/>
        <v>8100</v>
      </c>
      <c r="H558" s="488">
        <f>6*1350</f>
        <v>8100</v>
      </c>
      <c r="I558" s="488"/>
      <c r="J558" s="488"/>
      <c r="K558" s="488"/>
      <c r="L558" s="490"/>
      <c r="M558" s="488">
        <v>24500</v>
      </c>
      <c r="N558" s="488">
        <f>6*1350</f>
        <v>8100</v>
      </c>
      <c r="O558" s="470">
        <f t="shared" si="104"/>
        <v>8100</v>
      </c>
      <c r="P558" s="488"/>
      <c r="Q558" s="624" t="s">
        <v>1047</v>
      </c>
    </row>
    <row r="559" spans="1:18" ht="16.5">
      <c r="A559" s="173">
        <v>12</v>
      </c>
      <c r="B559" s="174"/>
      <c r="C559" s="170" t="s">
        <v>1048</v>
      </c>
      <c r="D559" s="490"/>
      <c r="E559" s="488"/>
      <c r="F559" s="484"/>
      <c r="G559" s="484"/>
      <c r="H559" s="488"/>
      <c r="I559" s="488"/>
      <c r="J559" s="488"/>
      <c r="K559" s="488"/>
      <c r="L559" s="490"/>
      <c r="M559" s="488">
        <v>1500</v>
      </c>
      <c r="N559" s="488">
        <v>1500</v>
      </c>
      <c r="O559" s="470">
        <f t="shared" si="104"/>
        <v>1500</v>
      </c>
      <c r="P559" s="488"/>
      <c r="Q559" s="622"/>
    </row>
    <row r="560" spans="1:18" ht="16.5">
      <c r="A560" s="173">
        <v>14</v>
      </c>
      <c r="B560" s="174"/>
      <c r="C560" s="170" t="s">
        <v>338</v>
      </c>
      <c r="D560" s="490"/>
      <c r="E560" s="488">
        <v>1600</v>
      </c>
      <c r="F560" s="484">
        <f t="shared" si="112"/>
        <v>1600</v>
      </c>
      <c r="G560" s="484">
        <f t="shared" si="116"/>
        <v>1600</v>
      </c>
      <c r="H560" s="488">
        <v>1600</v>
      </c>
      <c r="I560" s="488"/>
      <c r="J560" s="488"/>
      <c r="K560" s="488"/>
      <c r="L560" s="490"/>
      <c r="M560" s="488">
        <v>1600</v>
      </c>
      <c r="N560" s="488">
        <v>1600</v>
      </c>
      <c r="O560" s="470">
        <f t="shared" si="104"/>
        <v>1600</v>
      </c>
      <c r="P560" s="488"/>
      <c r="Q560" s="622"/>
    </row>
    <row r="561" spans="1:17" ht="16.5">
      <c r="A561" s="173">
        <v>15</v>
      </c>
      <c r="B561" s="174"/>
      <c r="C561" s="170" t="s">
        <v>1049</v>
      </c>
      <c r="D561" s="490"/>
      <c r="E561" s="488">
        <v>4400</v>
      </c>
      <c r="F561" s="484">
        <f t="shared" si="112"/>
        <v>2200</v>
      </c>
      <c r="G561" s="484">
        <f t="shared" si="116"/>
        <v>2200</v>
      </c>
      <c r="H561" s="488">
        <v>2200</v>
      </c>
      <c r="I561" s="488"/>
      <c r="J561" s="488"/>
      <c r="K561" s="488"/>
      <c r="L561" s="490"/>
      <c r="M561" s="488">
        <f>200*11</f>
        <v>2200</v>
      </c>
      <c r="N561" s="488">
        <v>2200</v>
      </c>
      <c r="O561" s="470">
        <f t="shared" si="104"/>
        <v>2200</v>
      </c>
      <c r="P561" s="488"/>
      <c r="Q561" s="622" t="s">
        <v>132</v>
      </c>
    </row>
    <row r="562" spans="1:17" ht="16.5">
      <c r="A562" s="173">
        <v>16</v>
      </c>
      <c r="B562" s="174"/>
      <c r="C562" s="170" t="s">
        <v>131</v>
      </c>
      <c r="D562" s="490"/>
      <c r="E562" s="488">
        <v>2000</v>
      </c>
      <c r="F562" s="484">
        <f t="shared" si="112"/>
        <v>2000</v>
      </c>
      <c r="G562" s="484">
        <f t="shared" si="116"/>
        <v>2000</v>
      </c>
      <c r="H562" s="488">
        <v>2000</v>
      </c>
      <c r="I562" s="488"/>
      <c r="J562" s="488"/>
      <c r="K562" s="488"/>
      <c r="L562" s="490"/>
      <c r="M562" s="488">
        <v>2000</v>
      </c>
      <c r="N562" s="488">
        <v>2000</v>
      </c>
      <c r="O562" s="470">
        <f t="shared" si="104"/>
        <v>2000</v>
      </c>
      <c r="P562" s="488"/>
      <c r="Q562" s="622"/>
    </row>
    <row r="563" spans="1:17" ht="16.5">
      <c r="A563" s="173">
        <v>18</v>
      </c>
      <c r="B563" s="174"/>
      <c r="C563" s="170" t="s">
        <v>1</v>
      </c>
      <c r="D563" s="490"/>
      <c r="E563" s="488">
        <f>2*72*130*2</f>
        <v>37440</v>
      </c>
      <c r="F563" s="484">
        <f t="shared" si="112"/>
        <v>20000</v>
      </c>
      <c r="G563" s="484">
        <f t="shared" si="116"/>
        <v>20000</v>
      </c>
      <c r="H563" s="488"/>
      <c r="I563" s="488">
        <v>20000</v>
      </c>
      <c r="J563" s="488"/>
      <c r="K563" s="488"/>
      <c r="L563" s="490"/>
      <c r="M563" s="488">
        <v>20000</v>
      </c>
      <c r="N563" s="488">
        <v>20000</v>
      </c>
      <c r="O563" s="470">
        <f t="shared" si="104"/>
        <v>20000</v>
      </c>
      <c r="P563" s="488"/>
      <c r="Q563" s="358" t="s">
        <v>1050</v>
      </c>
    </row>
    <row r="564" spans="1:17" ht="16.5">
      <c r="A564" s="173">
        <v>19</v>
      </c>
      <c r="B564" s="172"/>
      <c r="C564" s="170" t="s">
        <v>133</v>
      </c>
      <c r="D564" s="490"/>
      <c r="E564" s="488">
        <f>3*48*130*2</f>
        <v>37440</v>
      </c>
      <c r="F564" s="484">
        <f t="shared" si="112"/>
        <v>20000</v>
      </c>
      <c r="G564" s="484">
        <f t="shared" si="116"/>
        <v>20000</v>
      </c>
      <c r="H564" s="488">
        <v>20000</v>
      </c>
      <c r="I564" s="488"/>
      <c r="J564" s="488"/>
      <c r="K564" s="488"/>
      <c r="L564" s="490"/>
      <c r="M564" s="488">
        <v>20000</v>
      </c>
      <c r="N564" s="488">
        <v>20000</v>
      </c>
      <c r="O564" s="470">
        <f t="shared" si="104"/>
        <v>20000</v>
      </c>
      <c r="P564" s="488"/>
      <c r="Q564" s="358" t="s">
        <v>1050</v>
      </c>
    </row>
    <row r="565" spans="1:17" ht="30">
      <c r="A565" s="173">
        <v>21</v>
      </c>
      <c r="B565" s="172"/>
      <c r="C565" s="170" t="s">
        <v>1051</v>
      </c>
      <c r="D565" s="490"/>
      <c r="E565" s="488"/>
      <c r="F565" s="484"/>
      <c r="G565" s="484"/>
      <c r="H565" s="488"/>
      <c r="I565" s="488"/>
      <c r="J565" s="488"/>
      <c r="K565" s="488"/>
      <c r="L565" s="490"/>
      <c r="M565" s="488">
        <v>56000</v>
      </c>
      <c r="N565" s="488">
        <v>56000</v>
      </c>
      <c r="O565" s="470">
        <f t="shared" si="104"/>
        <v>56000</v>
      </c>
      <c r="P565" s="488"/>
      <c r="Q565" s="358"/>
    </row>
    <row r="566" spans="1:17" ht="16.5">
      <c r="A566" s="171" t="s">
        <v>1220</v>
      </c>
      <c r="B566" s="172"/>
      <c r="C566" s="169" t="s">
        <v>1052</v>
      </c>
      <c r="D566" s="471">
        <f>SUM(D567:D571)</f>
        <v>0</v>
      </c>
      <c r="E566" s="472">
        <f>SUM(E567:E571)</f>
        <v>98000</v>
      </c>
      <c r="F566" s="472">
        <f>G566+J566</f>
        <v>62000</v>
      </c>
      <c r="G566" s="472">
        <f>H566+I566</f>
        <v>62000</v>
      </c>
      <c r="H566" s="472">
        <f t="shared" ref="H566:N566" si="117">SUM(H567:H571)</f>
        <v>50000</v>
      </c>
      <c r="I566" s="472">
        <f t="shared" si="117"/>
        <v>12000</v>
      </c>
      <c r="J566" s="472">
        <f t="shared" si="117"/>
        <v>0</v>
      </c>
      <c r="K566" s="472">
        <f t="shared" si="117"/>
        <v>0</v>
      </c>
      <c r="L566" s="471">
        <f t="shared" si="117"/>
        <v>0</v>
      </c>
      <c r="M566" s="472">
        <f t="shared" si="117"/>
        <v>67000</v>
      </c>
      <c r="N566" s="472">
        <f t="shared" si="117"/>
        <v>62000</v>
      </c>
      <c r="O566" s="466">
        <f t="shared" si="104"/>
        <v>62000</v>
      </c>
      <c r="P566" s="472"/>
      <c r="Q566" s="622"/>
    </row>
    <row r="567" spans="1:17" ht="16.5">
      <c r="A567" s="173">
        <v>1</v>
      </c>
      <c r="B567" s="175"/>
      <c r="C567" s="170" t="s">
        <v>134</v>
      </c>
      <c r="D567" s="490"/>
      <c r="E567" s="488">
        <v>25000</v>
      </c>
      <c r="F567" s="484">
        <f t="shared" si="112"/>
        <v>15000</v>
      </c>
      <c r="G567" s="484">
        <f t="shared" si="116"/>
        <v>15000</v>
      </c>
      <c r="H567" s="488">
        <v>15000</v>
      </c>
      <c r="I567" s="488"/>
      <c r="J567" s="488"/>
      <c r="K567" s="488"/>
      <c r="L567" s="490"/>
      <c r="M567" s="488">
        <v>15000</v>
      </c>
      <c r="N567" s="488">
        <v>15000</v>
      </c>
      <c r="O567" s="470">
        <f t="shared" si="104"/>
        <v>15000</v>
      </c>
      <c r="P567" s="488"/>
      <c r="Q567" s="622"/>
    </row>
    <row r="568" spans="1:17" ht="16.5">
      <c r="A568" s="173">
        <v>2</v>
      </c>
      <c r="B568" s="175"/>
      <c r="C568" s="170" t="s">
        <v>1053</v>
      </c>
      <c r="D568" s="490"/>
      <c r="E568" s="488">
        <v>25000</v>
      </c>
      <c r="F568" s="484">
        <f t="shared" si="112"/>
        <v>15000</v>
      </c>
      <c r="G568" s="484">
        <f t="shared" si="116"/>
        <v>15000</v>
      </c>
      <c r="H568" s="488">
        <v>15000</v>
      </c>
      <c r="I568" s="488"/>
      <c r="J568" s="488"/>
      <c r="K568" s="488"/>
      <c r="L568" s="490"/>
      <c r="M568" s="488">
        <v>20000</v>
      </c>
      <c r="N568" s="488">
        <v>15000</v>
      </c>
      <c r="O568" s="470">
        <f t="shared" si="104"/>
        <v>15000</v>
      </c>
      <c r="P568" s="488"/>
      <c r="Q568" s="622"/>
    </row>
    <row r="569" spans="1:17" ht="16.5">
      <c r="A569" s="173">
        <v>4</v>
      </c>
      <c r="B569" s="174"/>
      <c r="C569" s="170" t="s">
        <v>394</v>
      </c>
      <c r="D569" s="490"/>
      <c r="E569" s="488">
        <v>10000</v>
      </c>
      <c r="F569" s="484">
        <f t="shared" si="112"/>
        <v>10000</v>
      </c>
      <c r="G569" s="484">
        <f t="shared" si="116"/>
        <v>10000</v>
      </c>
      <c r="H569" s="488">
        <v>10000</v>
      </c>
      <c r="I569" s="488"/>
      <c r="J569" s="488"/>
      <c r="K569" s="488"/>
      <c r="L569" s="490"/>
      <c r="M569" s="488">
        <v>10000</v>
      </c>
      <c r="N569" s="488">
        <v>10000</v>
      </c>
      <c r="O569" s="470">
        <f t="shared" ref="O569:O623" si="118">N569</f>
        <v>10000</v>
      </c>
      <c r="P569" s="488"/>
      <c r="Q569" s="622"/>
    </row>
    <row r="570" spans="1:17" ht="16.5">
      <c r="A570" s="173">
        <v>5</v>
      </c>
      <c r="B570" s="206"/>
      <c r="C570" s="170" t="s">
        <v>8</v>
      </c>
      <c r="D570" s="490"/>
      <c r="E570" s="488">
        <v>20000</v>
      </c>
      <c r="F570" s="484">
        <f t="shared" si="112"/>
        <v>10000</v>
      </c>
      <c r="G570" s="484">
        <f t="shared" si="116"/>
        <v>10000</v>
      </c>
      <c r="H570" s="488">
        <v>10000</v>
      </c>
      <c r="I570" s="488"/>
      <c r="J570" s="488"/>
      <c r="K570" s="488"/>
      <c r="L570" s="490"/>
      <c r="M570" s="488">
        <v>10000</v>
      </c>
      <c r="N570" s="488">
        <v>10000</v>
      </c>
      <c r="O570" s="470">
        <f t="shared" si="118"/>
        <v>10000</v>
      </c>
      <c r="P570" s="488"/>
      <c r="Q570" s="622"/>
    </row>
    <row r="571" spans="1:17" ht="16.5">
      <c r="A571" s="173">
        <v>6</v>
      </c>
      <c r="B571" s="206"/>
      <c r="C571" s="170" t="s">
        <v>135</v>
      </c>
      <c r="D571" s="490"/>
      <c r="E571" s="488">
        <v>18000</v>
      </c>
      <c r="F571" s="484">
        <f t="shared" si="112"/>
        <v>12000</v>
      </c>
      <c r="G571" s="484">
        <f t="shared" si="116"/>
        <v>12000</v>
      </c>
      <c r="H571" s="488"/>
      <c r="I571" s="488">
        <v>12000</v>
      </c>
      <c r="J571" s="488"/>
      <c r="K571" s="488"/>
      <c r="L571" s="490"/>
      <c r="M571" s="488">
        <v>12000</v>
      </c>
      <c r="N571" s="488">
        <v>12000</v>
      </c>
      <c r="O571" s="470">
        <f t="shared" si="118"/>
        <v>12000</v>
      </c>
      <c r="P571" s="488"/>
      <c r="Q571" s="622" t="s">
        <v>136</v>
      </c>
    </row>
    <row r="572" spans="1:17" ht="16.5">
      <c r="A572" s="171" t="s">
        <v>1221</v>
      </c>
      <c r="B572" s="174"/>
      <c r="C572" s="169" t="s">
        <v>789</v>
      </c>
      <c r="D572" s="492">
        <f>D573+D580</f>
        <v>0</v>
      </c>
      <c r="E572" s="464">
        <f>E573+E580</f>
        <v>405000</v>
      </c>
      <c r="F572" s="472">
        <f t="shared" si="112"/>
        <v>220000</v>
      </c>
      <c r="G572" s="472">
        <f t="shared" si="116"/>
        <v>220000</v>
      </c>
      <c r="H572" s="464">
        <f>H573+H580</f>
        <v>65000</v>
      </c>
      <c r="I572" s="464">
        <f>I573+I580</f>
        <v>155000</v>
      </c>
      <c r="J572" s="464">
        <f>J573+J580</f>
        <v>0</v>
      </c>
      <c r="K572" s="464">
        <f t="shared" ref="K572:L572" si="119">K573+K580</f>
        <v>0</v>
      </c>
      <c r="L572" s="492">
        <f t="shared" si="119"/>
        <v>0</v>
      </c>
      <c r="M572" s="464">
        <f>M573+M580+M588</f>
        <v>334000</v>
      </c>
      <c r="N572" s="464">
        <f>N573+N580+N588</f>
        <v>299000</v>
      </c>
      <c r="O572" s="466">
        <f t="shared" si="118"/>
        <v>299000</v>
      </c>
      <c r="P572" s="464"/>
      <c r="Q572" s="622"/>
    </row>
    <row r="573" spans="1:17" ht="16.5">
      <c r="A573" s="171" t="s">
        <v>551</v>
      </c>
      <c r="B573" s="172"/>
      <c r="C573" s="169" t="s">
        <v>9</v>
      </c>
      <c r="D573" s="492">
        <f>SUM(D574:D579)</f>
        <v>0</v>
      </c>
      <c r="E573" s="464">
        <f>SUM(E574:E579)</f>
        <v>170000</v>
      </c>
      <c r="F573" s="472">
        <f t="shared" si="112"/>
        <v>100000</v>
      </c>
      <c r="G573" s="472">
        <f t="shared" si="116"/>
        <v>100000</v>
      </c>
      <c r="H573" s="464">
        <f>SUM(H574:H579)</f>
        <v>45000</v>
      </c>
      <c r="I573" s="464">
        <f>SUM(I574:I579)</f>
        <v>55000</v>
      </c>
      <c r="J573" s="464">
        <f>SUM(J574:J579)</f>
        <v>0</v>
      </c>
      <c r="K573" s="464">
        <f t="shared" ref="K573:L573" si="120">SUM(K574:K579)</f>
        <v>0</v>
      </c>
      <c r="L573" s="492">
        <f t="shared" si="120"/>
        <v>0</v>
      </c>
      <c r="M573" s="464">
        <f>SUM(M574:M579)</f>
        <v>115000</v>
      </c>
      <c r="N573" s="464">
        <f>SUM(N574:N579)</f>
        <v>95000</v>
      </c>
      <c r="O573" s="466">
        <f t="shared" si="118"/>
        <v>95000</v>
      </c>
      <c r="P573" s="464"/>
      <c r="Q573" s="622"/>
    </row>
    <row r="574" spans="1:17" ht="16.5">
      <c r="A574" s="173"/>
      <c r="B574" s="174"/>
      <c r="C574" s="170" t="s">
        <v>121</v>
      </c>
      <c r="D574" s="490"/>
      <c r="E574" s="488">
        <v>20000</v>
      </c>
      <c r="F574" s="484">
        <f t="shared" si="112"/>
        <v>15000</v>
      </c>
      <c r="G574" s="484">
        <f t="shared" si="116"/>
        <v>15000</v>
      </c>
      <c r="H574" s="488">
        <v>15000</v>
      </c>
      <c r="I574" s="488"/>
      <c r="J574" s="488"/>
      <c r="K574" s="488"/>
      <c r="L574" s="490"/>
      <c r="M574" s="488">
        <v>15000</v>
      </c>
      <c r="N574" s="488">
        <v>15000</v>
      </c>
      <c r="O574" s="470">
        <f t="shared" si="118"/>
        <v>15000</v>
      </c>
      <c r="P574" s="488"/>
      <c r="Q574" s="358" t="s">
        <v>1050</v>
      </c>
    </row>
    <row r="575" spans="1:17" ht="16.5">
      <c r="A575" s="173"/>
      <c r="B575" s="174"/>
      <c r="C575" s="170" t="s">
        <v>122</v>
      </c>
      <c r="D575" s="490"/>
      <c r="E575" s="488">
        <v>20000</v>
      </c>
      <c r="F575" s="484">
        <f t="shared" si="112"/>
        <v>15000</v>
      </c>
      <c r="G575" s="484">
        <f t="shared" si="116"/>
        <v>15000</v>
      </c>
      <c r="H575" s="488">
        <v>15000</v>
      </c>
      <c r="I575" s="488"/>
      <c r="J575" s="488"/>
      <c r="K575" s="488"/>
      <c r="L575" s="490"/>
      <c r="M575" s="488">
        <v>15000</v>
      </c>
      <c r="N575" s="488">
        <v>15000</v>
      </c>
      <c r="O575" s="470">
        <f t="shared" si="118"/>
        <v>15000</v>
      </c>
      <c r="P575" s="488"/>
      <c r="Q575" s="358" t="s">
        <v>1050</v>
      </c>
    </row>
    <row r="576" spans="1:17" ht="16.5">
      <c r="A576" s="173"/>
      <c r="B576" s="174"/>
      <c r="C576" s="170" t="s">
        <v>123</v>
      </c>
      <c r="D576" s="490"/>
      <c r="E576" s="488">
        <v>30000</v>
      </c>
      <c r="F576" s="484">
        <f t="shared" si="112"/>
        <v>15000</v>
      </c>
      <c r="G576" s="484">
        <f t="shared" si="116"/>
        <v>15000</v>
      </c>
      <c r="H576" s="488"/>
      <c r="I576" s="488">
        <v>15000</v>
      </c>
      <c r="J576" s="488"/>
      <c r="K576" s="488"/>
      <c r="L576" s="490"/>
      <c r="M576" s="488">
        <v>15000</v>
      </c>
      <c r="N576" s="488">
        <v>15000</v>
      </c>
      <c r="O576" s="470">
        <f t="shared" si="118"/>
        <v>15000</v>
      </c>
      <c r="P576" s="488"/>
      <c r="Q576" s="358" t="s">
        <v>1050</v>
      </c>
    </row>
    <row r="577" spans="1:17" ht="16.5">
      <c r="A577" s="173"/>
      <c r="B577" s="174"/>
      <c r="C577" s="170" t="s">
        <v>424</v>
      </c>
      <c r="D577" s="490"/>
      <c r="E577" s="488">
        <v>30000</v>
      </c>
      <c r="F577" s="484">
        <f t="shared" si="112"/>
        <v>15000</v>
      </c>
      <c r="G577" s="484">
        <f t="shared" si="116"/>
        <v>15000</v>
      </c>
      <c r="H577" s="488">
        <v>15000</v>
      </c>
      <c r="I577" s="488"/>
      <c r="J577" s="488"/>
      <c r="K577" s="488"/>
      <c r="L577" s="490"/>
      <c r="M577" s="488">
        <v>20000</v>
      </c>
      <c r="N577" s="488">
        <v>15000</v>
      </c>
      <c r="O577" s="470">
        <f t="shared" si="118"/>
        <v>15000</v>
      </c>
      <c r="P577" s="488"/>
      <c r="Q577" s="358" t="s">
        <v>1050</v>
      </c>
    </row>
    <row r="578" spans="1:17" ht="16.5">
      <c r="A578" s="173"/>
      <c r="B578" s="174"/>
      <c r="C578" s="170" t="s">
        <v>799</v>
      </c>
      <c r="D578" s="490"/>
      <c r="E578" s="488">
        <v>45000</v>
      </c>
      <c r="F578" s="484">
        <f t="shared" si="112"/>
        <v>20000</v>
      </c>
      <c r="G578" s="484">
        <f t="shared" si="116"/>
        <v>20000</v>
      </c>
      <c r="H578" s="488"/>
      <c r="I578" s="488">
        <v>20000</v>
      </c>
      <c r="J578" s="488"/>
      <c r="K578" s="488"/>
      <c r="L578" s="490"/>
      <c r="M578" s="488">
        <v>30000</v>
      </c>
      <c r="N578" s="488">
        <v>20000</v>
      </c>
      <c r="O578" s="470">
        <f t="shared" si="118"/>
        <v>20000</v>
      </c>
      <c r="P578" s="488"/>
      <c r="Q578" s="358" t="s">
        <v>1050</v>
      </c>
    </row>
    <row r="579" spans="1:17" ht="16.5">
      <c r="A579" s="173"/>
      <c r="B579" s="174"/>
      <c r="C579" s="170" t="s">
        <v>462</v>
      </c>
      <c r="D579" s="490"/>
      <c r="E579" s="488">
        <v>25000</v>
      </c>
      <c r="F579" s="484">
        <f t="shared" si="112"/>
        <v>20000</v>
      </c>
      <c r="G579" s="484">
        <f t="shared" si="116"/>
        <v>20000</v>
      </c>
      <c r="H579" s="488"/>
      <c r="I579" s="488">
        <v>20000</v>
      </c>
      <c r="J579" s="488"/>
      <c r="K579" s="488"/>
      <c r="L579" s="490"/>
      <c r="M579" s="488">
        <v>20000</v>
      </c>
      <c r="N579" s="488">
        <v>15000</v>
      </c>
      <c r="O579" s="470">
        <f t="shared" si="118"/>
        <v>15000</v>
      </c>
      <c r="P579" s="488"/>
      <c r="Q579" s="358" t="s">
        <v>1050</v>
      </c>
    </row>
    <row r="580" spans="1:17" ht="16.5">
      <c r="A580" s="171" t="s">
        <v>552</v>
      </c>
      <c r="B580" s="172"/>
      <c r="C580" s="169" t="s">
        <v>463</v>
      </c>
      <c r="D580" s="490"/>
      <c r="E580" s="491">
        <f>SUM(E581:E586)</f>
        <v>235000</v>
      </c>
      <c r="F580" s="472">
        <f>G580+J580</f>
        <v>120000</v>
      </c>
      <c r="G580" s="472">
        <f t="shared" si="116"/>
        <v>120000</v>
      </c>
      <c r="H580" s="491">
        <f>SUM(H581:H587)</f>
        <v>20000</v>
      </c>
      <c r="I580" s="491">
        <f>SUM(I581:I587)</f>
        <v>100000</v>
      </c>
      <c r="J580" s="491">
        <f>SUM(J581:J587)</f>
        <v>0</v>
      </c>
      <c r="K580" s="491">
        <f t="shared" ref="K580:L580" si="121">SUM(K581:K586)</f>
        <v>0</v>
      </c>
      <c r="L580" s="492">
        <f t="shared" si="121"/>
        <v>0</v>
      </c>
      <c r="M580" s="491">
        <f>SUM(M581:M587)</f>
        <v>190000</v>
      </c>
      <c r="N580" s="491">
        <f>SUM(N581:N587)</f>
        <v>175000</v>
      </c>
      <c r="O580" s="466">
        <f t="shared" si="118"/>
        <v>175000</v>
      </c>
      <c r="P580" s="491"/>
      <c r="Q580" s="358" t="s">
        <v>1050</v>
      </c>
    </row>
    <row r="581" spans="1:17" ht="16.5">
      <c r="A581" s="171"/>
      <c r="B581" s="172"/>
      <c r="C581" s="170" t="s">
        <v>124</v>
      </c>
      <c r="D581" s="490"/>
      <c r="E581" s="488">
        <v>30000</v>
      </c>
      <c r="F581" s="484">
        <f t="shared" si="112"/>
        <v>20000</v>
      </c>
      <c r="G581" s="484">
        <f t="shared" si="116"/>
        <v>20000</v>
      </c>
      <c r="H581" s="488">
        <v>20000</v>
      </c>
      <c r="I581" s="488"/>
      <c r="J581" s="488"/>
      <c r="K581" s="488"/>
      <c r="L581" s="490"/>
      <c r="M581" s="488">
        <v>20000</v>
      </c>
      <c r="N581" s="488">
        <v>20000</v>
      </c>
      <c r="O581" s="470">
        <f t="shared" si="118"/>
        <v>20000</v>
      </c>
      <c r="P581" s="488"/>
      <c r="Q581" s="358" t="s">
        <v>1050</v>
      </c>
    </row>
    <row r="582" spans="1:17" ht="16.5">
      <c r="A582" s="171"/>
      <c r="B582" s="172"/>
      <c r="C582" s="170" t="s">
        <v>123</v>
      </c>
      <c r="D582" s="490"/>
      <c r="E582" s="488">
        <v>40000</v>
      </c>
      <c r="F582" s="484">
        <f t="shared" si="112"/>
        <v>20000</v>
      </c>
      <c r="G582" s="484">
        <f t="shared" si="116"/>
        <v>20000</v>
      </c>
      <c r="H582" s="488"/>
      <c r="I582" s="488">
        <v>20000</v>
      </c>
      <c r="J582" s="488"/>
      <c r="K582" s="488"/>
      <c r="L582" s="490"/>
      <c r="M582" s="488">
        <v>30000</v>
      </c>
      <c r="N582" s="488">
        <v>30000</v>
      </c>
      <c r="O582" s="470">
        <f t="shared" si="118"/>
        <v>30000</v>
      </c>
      <c r="P582" s="488"/>
      <c r="Q582" s="358" t="s">
        <v>1050</v>
      </c>
    </row>
    <row r="583" spans="1:17" ht="16.5">
      <c r="A583" s="171"/>
      <c r="B583" s="172"/>
      <c r="C583" s="170" t="s">
        <v>126</v>
      </c>
      <c r="D583" s="490"/>
      <c r="E583" s="488">
        <v>50000</v>
      </c>
      <c r="F583" s="484">
        <f t="shared" si="112"/>
        <v>20000</v>
      </c>
      <c r="G583" s="484">
        <f t="shared" si="116"/>
        <v>20000</v>
      </c>
      <c r="H583" s="488"/>
      <c r="I583" s="488">
        <v>20000</v>
      </c>
      <c r="J583" s="488"/>
      <c r="K583" s="488"/>
      <c r="L583" s="490"/>
      <c r="M583" s="488">
        <v>45000</v>
      </c>
      <c r="N583" s="488">
        <v>30000</v>
      </c>
      <c r="O583" s="470">
        <f t="shared" si="118"/>
        <v>30000</v>
      </c>
      <c r="P583" s="488"/>
      <c r="Q583" s="358" t="s">
        <v>1050</v>
      </c>
    </row>
    <row r="584" spans="1:17" ht="16.5">
      <c r="A584" s="171"/>
      <c r="B584" s="172"/>
      <c r="C584" s="170" t="s">
        <v>424</v>
      </c>
      <c r="D584" s="490"/>
      <c r="E584" s="488">
        <v>40000</v>
      </c>
      <c r="F584" s="484">
        <f t="shared" si="112"/>
        <v>20000</v>
      </c>
      <c r="G584" s="484">
        <f t="shared" si="116"/>
        <v>20000</v>
      </c>
      <c r="H584" s="488"/>
      <c r="I584" s="488">
        <v>20000</v>
      </c>
      <c r="J584" s="488"/>
      <c r="K584" s="488"/>
      <c r="L584" s="490"/>
      <c r="M584" s="488">
        <v>30000</v>
      </c>
      <c r="N584" s="488">
        <v>30000</v>
      </c>
      <c r="O584" s="470">
        <f t="shared" si="118"/>
        <v>30000</v>
      </c>
      <c r="P584" s="488"/>
      <c r="Q584" s="358" t="s">
        <v>1050</v>
      </c>
    </row>
    <row r="585" spans="1:17" ht="16.5">
      <c r="A585" s="171"/>
      <c r="B585" s="172"/>
      <c r="C585" s="170" t="s">
        <v>464</v>
      </c>
      <c r="D585" s="490"/>
      <c r="E585" s="488">
        <v>45000</v>
      </c>
      <c r="F585" s="484">
        <f t="shared" si="112"/>
        <v>20000</v>
      </c>
      <c r="G585" s="484">
        <f t="shared" si="116"/>
        <v>20000</v>
      </c>
      <c r="H585" s="488"/>
      <c r="I585" s="488">
        <v>20000</v>
      </c>
      <c r="J585" s="488"/>
      <c r="K585" s="488"/>
      <c r="L585" s="490"/>
      <c r="M585" s="488">
        <v>25000</v>
      </c>
      <c r="N585" s="488">
        <v>25000</v>
      </c>
      <c r="O585" s="470">
        <f t="shared" si="118"/>
        <v>25000</v>
      </c>
      <c r="P585" s="488"/>
      <c r="Q585" s="358" t="s">
        <v>1050</v>
      </c>
    </row>
    <row r="586" spans="1:17" ht="16.5">
      <c r="A586" s="171"/>
      <c r="B586" s="172"/>
      <c r="C586" s="170" t="s">
        <v>127</v>
      </c>
      <c r="D586" s="490"/>
      <c r="E586" s="488">
        <v>30000</v>
      </c>
      <c r="F586" s="484">
        <f>G586+J586</f>
        <v>20000</v>
      </c>
      <c r="G586" s="484">
        <f t="shared" si="116"/>
        <v>20000</v>
      </c>
      <c r="H586" s="488"/>
      <c r="I586" s="488">
        <v>20000</v>
      </c>
      <c r="J586" s="488"/>
      <c r="K586" s="488"/>
      <c r="L586" s="490"/>
      <c r="M586" s="488">
        <v>25000</v>
      </c>
      <c r="N586" s="488">
        <v>25000</v>
      </c>
      <c r="O586" s="470">
        <f t="shared" si="118"/>
        <v>25000</v>
      </c>
      <c r="P586" s="488"/>
      <c r="Q586" s="358" t="s">
        <v>1050</v>
      </c>
    </row>
    <row r="587" spans="1:17" ht="16.5">
      <c r="A587" s="171"/>
      <c r="B587" s="172"/>
      <c r="C587" s="170" t="s">
        <v>127</v>
      </c>
      <c r="D587" s="490"/>
      <c r="E587" s="488"/>
      <c r="F587" s="484">
        <f t="shared" ref="F587" si="122">G587+J587</f>
        <v>0</v>
      </c>
      <c r="G587" s="484"/>
      <c r="H587" s="488"/>
      <c r="I587" s="488"/>
      <c r="J587" s="488"/>
      <c r="K587" s="488"/>
      <c r="L587" s="490"/>
      <c r="M587" s="488">
        <v>15000</v>
      </c>
      <c r="N587" s="488">
        <v>15000</v>
      </c>
      <c r="O587" s="470">
        <f t="shared" si="118"/>
        <v>15000</v>
      </c>
      <c r="P587" s="488"/>
      <c r="Q587" s="358" t="s">
        <v>1050</v>
      </c>
    </row>
    <row r="588" spans="1:17" ht="16.5">
      <c r="A588" s="171" t="s">
        <v>1222</v>
      </c>
      <c r="B588" s="174"/>
      <c r="C588" s="219" t="s">
        <v>630</v>
      </c>
      <c r="D588" s="471">
        <f>SUM(D589:D591)</f>
        <v>0</v>
      </c>
      <c r="E588" s="472">
        <f>SUM(E589:E591)</f>
        <v>36000</v>
      </c>
      <c r="F588" s="472">
        <f>G588+J588</f>
        <v>25000</v>
      </c>
      <c r="G588" s="472">
        <f>H588+I588</f>
        <v>25000</v>
      </c>
      <c r="H588" s="472">
        <f>SUM(H589:H591)</f>
        <v>25000</v>
      </c>
      <c r="I588" s="472">
        <f t="shared" ref="I588:L588" si="123">SUM(I589:I591)</f>
        <v>0</v>
      </c>
      <c r="J588" s="472">
        <f t="shared" si="123"/>
        <v>0</v>
      </c>
      <c r="K588" s="472">
        <f t="shared" si="123"/>
        <v>0</v>
      </c>
      <c r="L588" s="471">
        <f t="shared" si="123"/>
        <v>0</v>
      </c>
      <c r="M588" s="472">
        <f>SUM(M589:M591)</f>
        <v>29000</v>
      </c>
      <c r="N588" s="472">
        <f>SUM(N589:N591)</f>
        <v>29000</v>
      </c>
      <c r="O588" s="466">
        <f t="shared" si="118"/>
        <v>29000</v>
      </c>
      <c r="P588" s="472"/>
      <c r="Q588" s="622"/>
    </row>
    <row r="589" spans="1:17" ht="16.5">
      <c r="A589" s="171"/>
      <c r="B589" s="174"/>
      <c r="C589" s="220" t="s">
        <v>22</v>
      </c>
      <c r="D589" s="490"/>
      <c r="E589" s="488">
        <v>10000</v>
      </c>
      <c r="F589" s="484">
        <f t="shared" ref="F589:F593" si="124">G589+J589</f>
        <v>10000</v>
      </c>
      <c r="G589" s="484">
        <f t="shared" si="116"/>
        <v>10000</v>
      </c>
      <c r="H589" s="488">
        <v>10000</v>
      </c>
      <c r="I589" s="488"/>
      <c r="J589" s="488"/>
      <c r="K589" s="488"/>
      <c r="L589" s="490"/>
      <c r="M589" s="488">
        <v>6000</v>
      </c>
      <c r="N589" s="488">
        <v>6000</v>
      </c>
      <c r="O589" s="470">
        <f t="shared" si="118"/>
        <v>6000</v>
      </c>
      <c r="P589" s="488"/>
      <c r="Q589" s="358"/>
    </row>
    <row r="590" spans="1:17" ht="16.5">
      <c r="A590" s="171"/>
      <c r="B590" s="174"/>
      <c r="C590" s="220" t="s">
        <v>395</v>
      </c>
      <c r="D590" s="490"/>
      <c r="E590" s="488">
        <v>20000</v>
      </c>
      <c r="F590" s="484">
        <f t="shared" si="124"/>
        <v>15000</v>
      </c>
      <c r="G590" s="484">
        <f t="shared" si="116"/>
        <v>15000</v>
      </c>
      <c r="H590" s="488">
        <v>15000</v>
      </c>
      <c r="I590" s="488"/>
      <c r="J590" s="488"/>
      <c r="K590" s="488"/>
      <c r="L590" s="490"/>
      <c r="M590" s="488">
        <v>15000</v>
      </c>
      <c r="N590" s="488">
        <v>15000</v>
      </c>
      <c r="O590" s="470">
        <f t="shared" si="118"/>
        <v>15000</v>
      </c>
      <c r="P590" s="488"/>
      <c r="Q590" s="358"/>
    </row>
    <row r="591" spans="1:17" ht="16.5">
      <c r="A591" s="171"/>
      <c r="B591" s="174"/>
      <c r="C591" s="220" t="s">
        <v>162</v>
      </c>
      <c r="D591" s="490"/>
      <c r="E591" s="488">
        <v>6000</v>
      </c>
      <c r="F591" s="472">
        <f t="shared" si="124"/>
        <v>0</v>
      </c>
      <c r="G591" s="484">
        <f t="shared" si="116"/>
        <v>0</v>
      </c>
      <c r="H591" s="488"/>
      <c r="I591" s="488"/>
      <c r="J591" s="488"/>
      <c r="K591" s="488"/>
      <c r="L591" s="490"/>
      <c r="M591" s="488">
        <v>8000</v>
      </c>
      <c r="N591" s="488">
        <v>8000</v>
      </c>
      <c r="O591" s="470">
        <f t="shared" si="118"/>
        <v>8000</v>
      </c>
      <c r="P591" s="488"/>
      <c r="Q591" s="358"/>
    </row>
    <row r="592" spans="1:17" ht="16.5">
      <c r="A592" s="171" t="s">
        <v>1207</v>
      </c>
      <c r="B592" s="174"/>
      <c r="C592" s="169" t="s">
        <v>631</v>
      </c>
      <c r="D592" s="490"/>
      <c r="E592" s="491" t="e">
        <f>SUM(#REF!)</f>
        <v>#REF!</v>
      </c>
      <c r="F592" s="472"/>
      <c r="G592" s="472"/>
      <c r="H592" s="491"/>
      <c r="I592" s="491"/>
      <c r="J592" s="491"/>
      <c r="K592" s="491"/>
      <c r="L592" s="492"/>
      <c r="M592" s="491">
        <f>M593</f>
        <v>49100</v>
      </c>
      <c r="N592" s="491">
        <f>N593</f>
        <v>49100</v>
      </c>
      <c r="O592" s="466">
        <f t="shared" si="118"/>
        <v>49100</v>
      </c>
      <c r="P592" s="491"/>
      <c r="Q592" s="622"/>
    </row>
    <row r="593" spans="1:17" ht="45">
      <c r="A593" s="171"/>
      <c r="B593" s="174"/>
      <c r="C593" s="170" t="s">
        <v>1054</v>
      </c>
      <c r="D593" s="490"/>
      <c r="E593" s="488"/>
      <c r="F593" s="484">
        <f t="shared" si="124"/>
        <v>0</v>
      </c>
      <c r="G593" s="484">
        <f t="shared" ref="G593:G622" si="125">H593+I593</f>
        <v>0</v>
      </c>
      <c r="H593" s="488"/>
      <c r="I593" s="488"/>
      <c r="J593" s="488"/>
      <c r="K593" s="488"/>
      <c r="L593" s="490"/>
      <c r="M593" s="488">
        <v>49100</v>
      </c>
      <c r="N593" s="488">
        <v>49100</v>
      </c>
      <c r="O593" s="470">
        <f t="shared" si="118"/>
        <v>49100</v>
      </c>
      <c r="P593" s="488"/>
      <c r="Q593" s="622"/>
    </row>
    <row r="594" spans="1:17" ht="16.5">
      <c r="A594" s="478">
        <v>2</v>
      </c>
      <c r="B594" s="479"/>
      <c r="C594" s="480" t="s">
        <v>1225</v>
      </c>
      <c r="D594" s="499"/>
      <c r="E594" s="491">
        <f t="shared" ref="E594:G594" si="126">E595+E598+E599</f>
        <v>932180.28725499986</v>
      </c>
      <c r="F594" s="491">
        <f t="shared" si="126"/>
        <v>922804.28725499986</v>
      </c>
      <c r="G594" s="491">
        <f t="shared" si="126"/>
        <v>880680.28725499986</v>
      </c>
      <c r="H594" s="491">
        <f>H595+H598+H599</f>
        <v>880680.28725499986</v>
      </c>
      <c r="I594" s="491">
        <f t="shared" ref="I594:J594" si="127">I595+I598+I599</f>
        <v>0</v>
      </c>
      <c r="J594" s="491">
        <f t="shared" si="127"/>
        <v>42124</v>
      </c>
      <c r="K594" s="491"/>
      <c r="L594" s="492"/>
      <c r="M594" s="491">
        <f>M595+M598+M599</f>
        <v>1522694.2989999996</v>
      </c>
      <c r="N594" s="491">
        <f>N595+N598+N599</f>
        <v>1431394.2989999996</v>
      </c>
      <c r="O594" s="466">
        <f t="shared" si="118"/>
        <v>1431394.2989999996</v>
      </c>
      <c r="P594" s="491"/>
      <c r="Q594" s="622"/>
    </row>
    <row r="595" spans="1:17" ht="16.5">
      <c r="A595" s="171" t="s">
        <v>454</v>
      </c>
      <c r="B595" s="174"/>
      <c r="C595" s="169" t="s">
        <v>377</v>
      </c>
      <c r="D595" s="490"/>
      <c r="E595" s="472">
        <f>(E596+E597)</f>
        <v>660489.46859999991</v>
      </c>
      <c r="F595" s="491">
        <f>G595+J595</f>
        <v>702613.46859999991</v>
      </c>
      <c r="G595" s="472">
        <f t="shared" si="125"/>
        <v>660489.46859999991</v>
      </c>
      <c r="H595" s="472">
        <f>(H596+H597)</f>
        <v>660489.46859999991</v>
      </c>
      <c r="I595" s="472">
        <f>(I596+I597)</f>
        <v>0</v>
      </c>
      <c r="J595" s="472">
        <f>(J596+J597)</f>
        <v>42124</v>
      </c>
      <c r="K595" s="472"/>
      <c r="L595" s="471"/>
      <c r="M595" s="472">
        <f>(M596+M597)</f>
        <v>722959.57199999981</v>
      </c>
      <c r="N595" s="472">
        <f>(N596+N597)</f>
        <v>722959.57199999981</v>
      </c>
      <c r="O595" s="553">
        <f t="shared" si="118"/>
        <v>722959.57199999981</v>
      </c>
      <c r="P595" s="472"/>
      <c r="Q595" s="622"/>
    </row>
    <row r="596" spans="1:17" ht="16.5">
      <c r="A596" s="171"/>
      <c r="B596" s="174"/>
      <c r="C596" s="170" t="s">
        <v>268</v>
      </c>
      <c r="D596" s="489">
        <f>31.87+0.6171+0.5+0.9+0.3+0.4</f>
        <v>34.587099999999992</v>
      </c>
      <c r="E596" s="488">
        <f>D596*1300*12</f>
        <v>539558.75999999989</v>
      </c>
      <c r="F596" s="488">
        <f>G596+J596</f>
        <v>581682.75999999989</v>
      </c>
      <c r="G596" s="484">
        <f t="shared" si="125"/>
        <v>539558.75999999989</v>
      </c>
      <c r="H596" s="488">
        <f>E596</f>
        <v>539558.75999999989</v>
      </c>
      <c r="I596" s="488"/>
      <c r="J596" s="488">
        <v>42124</v>
      </c>
      <c r="K596" s="488"/>
      <c r="L596" s="489">
        <f>32.65+0.69+0.5+0.9+0.3+0.4</f>
        <v>35.439999999999991</v>
      </c>
      <c r="M596" s="488">
        <f>L596*1390*12</f>
        <v>591139.19999999984</v>
      </c>
      <c r="N596" s="488">
        <f>M596</f>
        <v>591139.19999999984</v>
      </c>
      <c r="O596" s="470">
        <f t="shared" si="118"/>
        <v>591139.19999999984</v>
      </c>
      <c r="P596" s="488"/>
      <c r="Q596" s="622"/>
    </row>
    <row r="597" spans="1:17" ht="16.5">
      <c r="A597" s="171"/>
      <c r="B597" s="174"/>
      <c r="C597" s="170" t="s">
        <v>733</v>
      </c>
      <c r="D597" s="489">
        <f>(31.87+0.6171+0.5)*23.5%</f>
        <v>7.7519684999999994</v>
      </c>
      <c r="E597" s="488">
        <f>D597*1300*12</f>
        <v>120930.7086</v>
      </c>
      <c r="F597" s="488">
        <f>G597+J597</f>
        <v>120930.7086</v>
      </c>
      <c r="G597" s="484">
        <f t="shared" si="125"/>
        <v>120930.7086</v>
      </c>
      <c r="H597" s="488">
        <f>E597</f>
        <v>120930.7086</v>
      </c>
      <c r="I597" s="488"/>
      <c r="J597" s="488"/>
      <c r="K597" s="488"/>
      <c r="L597" s="489">
        <f>(32.65+0.69+0.5)*23.5%-(4.65+0.3)*1%</f>
        <v>7.9028999999999989</v>
      </c>
      <c r="M597" s="488">
        <f>L597*1390*12</f>
        <v>131820.37199999997</v>
      </c>
      <c r="N597" s="488">
        <f>M597</f>
        <v>131820.37199999997</v>
      </c>
      <c r="O597" s="470">
        <f t="shared" si="118"/>
        <v>131820.37199999997</v>
      </c>
      <c r="P597" s="488"/>
      <c r="Q597" s="622"/>
    </row>
    <row r="598" spans="1:17" ht="16.5">
      <c r="A598" s="171" t="s">
        <v>603</v>
      </c>
      <c r="B598" s="174"/>
      <c r="C598" s="169" t="s">
        <v>5</v>
      </c>
      <c r="D598" s="490"/>
      <c r="E598" s="491">
        <f>(D596+D597)*1210*12*20/80</f>
        <v>153690.81865499995</v>
      </c>
      <c r="F598" s="491">
        <f t="shared" ref="F598:F613" si="128">G598+J598</f>
        <v>153690.81865499995</v>
      </c>
      <c r="G598" s="472">
        <f>E598</f>
        <v>153690.81865499995</v>
      </c>
      <c r="H598" s="491">
        <f>E598</f>
        <v>153690.81865499995</v>
      </c>
      <c r="I598" s="491"/>
      <c r="J598" s="491"/>
      <c r="K598" s="491"/>
      <c r="L598" s="492"/>
      <c r="M598" s="491">
        <f>(L596+L597)*1210*12*20/80</f>
        <v>157334.72699999996</v>
      </c>
      <c r="N598" s="491">
        <f>M598</f>
        <v>157334.72699999996</v>
      </c>
      <c r="O598" s="466">
        <f t="shared" si="118"/>
        <v>157334.72699999996</v>
      </c>
      <c r="P598" s="491"/>
      <c r="Q598" s="622"/>
    </row>
    <row r="599" spans="1:17" ht="16.5">
      <c r="A599" s="171" t="s">
        <v>140</v>
      </c>
      <c r="B599" s="172"/>
      <c r="C599" s="169" t="s">
        <v>380</v>
      </c>
      <c r="D599" s="471">
        <f>D600</f>
        <v>0</v>
      </c>
      <c r="E599" s="472">
        <f>E600+E606</f>
        <v>118000</v>
      </c>
      <c r="F599" s="491">
        <f t="shared" si="128"/>
        <v>66500</v>
      </c>
      <c r="G599" s="472">
        <f t="shared" si="125"/>
        <v>66500</v>
      </c>
      <c r="H599" s="472">
        <f>H600+H606</f>
        <v>66500</v>
      </c>
      <c r="I599" s="472">
        <f>I600+I606</f>
        <v>0</v>
      </c>
      <c r="J599" s="472"/>
      <c r="K599" s="472"/>
      <c r="L599" s="471"/>
      <c r="M599" s="472">
        <f>M600+M606+M614</f>
        <v>642400</v>
      </c>
      <c r="N599" s="472">
        <f>N600+N606+N614</f>
        <v>551100</v>
      </c>
      <c r="O599" s="472">
        <f>O600+O606+O614</f>
        <v>551100</v>
      </c>
      <c r="P599" s="472"/>
      <c r="Q599" s="622"/>
    </row>
    <row r="600" spans="1:17" ht="16.5">
      <c r="A600" s="171" t="s">
        <v>1227</v>
      </c>
      <c r="B600" s="172"/>
      <c r="C600" s="169" t="s">
        <v>539</v>
      </c>
      <c r="D600" s="471"/>
      <c r="E600" s="472">
        <f>SUM(E601:E604)</f>
        <v>78000</v>
      </c>
      <c r="F600" s="472">
        <f>SUM(F601:F604)</f>
        <v>46500</v>
      </c>
      <c r="G600" s="472">
        <f>H600+I600</f>
        <v>46500</v>
      </c>
      <c r="H600" s="472">
        <f>SUM(H601:H604)</f>
        <v>46500</v>
      </c>
      <c r="I600" s="472">
        <f t="shared" ref="I600:L600" si="129">SUM(I601:I604)</f>
        <v>0</v>
      </c>
      <c r="J600" s="472"/>
      <c r="K600" s="472"/>
      <c r="L600" s="471">
        <f t="shared" si="129"/>
        <v>0</v>
      </c>
      <c r="M600" s="472">
        <f>SUM(M601:M605)</f>
        <v>107400</v>
      </c>
      <c r="N600" s="472">
        <f>SUM(N601:N605)</f>
        <v>71100</v>
      </c>
      <c r="O600" s="466">
        <f t="shared" si="118"/>
        <v>71100</v>
      </c>
      <c r="P600" s="472"/>
      <c r="Q600" s="622"/>
    </row>
    <row r="601" spans="1:17" ht="16.5">
      <c r="A601" s="171"/>
      <c r="B601" s="172"/>
      <c r="C601" s="170" t="s">
        <v>525</v>
      </c>
      <c r="D601" s="490"/>
      <c r="E601" s="488">
        <v>37500</v>
      </c>
      <c r="F601" s="488">
        <f t="shared" si="128"/>
        <v>37500</v>
      </c>
      <c r="G601" s="484">
        <f t="shared" si="125"/>
        <v>37500</v>
      </c>
      <c r="H601" s="488">
        <v>37500</v>
      </c>
      <c r="I601" s="488"/>
      <c r="J601" s="488"/>
      <c r="K601" s="488"/>
      <c r="L601" s="490"/>
      <c r="M601" s="488">
        <f>5000+4500+4000*7</f>
        <v>37500</v>
      </c>
      <c r="N601" s="488">
        <v>37500</v>
      </c>
      <c r="O601" s="470">
        <f t="shared" si="118"/>
        <v>37500</v>
      </c>
      <c r="P601" s="514"/>
      <c r="Q601" s="650"/>
    </row>
    <row r="602" spans="1:17" ht="30">
      <c r="A602" s="173"/>
      <c r="B602" s="172"/>
      <c r="C602" s="170" t="s">
        <v>225</v>
      </c>
      <c r="D602" s="490"/>
      <c r="E602" s="488">
        <v>13500</v>
      </c>
      <c r="F602" s="488">
        <f t="shared" si="128"/>
        <v>0</v>
      </c>
      <c r="G602" s="484"/>
      <c r="H602" s="488"/>
      <c r="I602" s="488"/>
      <c r="J602" s="488"/>
      <c r="K602" s="488"/>
      <c r="L602" s="490"/>
      <c r="M602" s="488">
        <f>9*300*5</f>
        <v>13500</v>
      </c>
      <c r="N602" s="488"/>
      <c r="O602" s="470">
        <f t="shared" si="118"/>
        <v>0</v>
      </c>
      <c r="P602" s="554"/>
      <c r="Q602" s="1193" t="s">
        <v>1055</v>
      </c>
    </row>
    <row r="603" spans="1:17" ht="16.5">
      <c r="A603" s="171"/>
      <c r="B603" s="174">
        <v>33</v>
      </c>
      <c r="C603" s="170" t="s">
        <v>526</v>
      </c>
      <c r="D603" s="490"/>
      <c r="E603" s="488">
        <v>18000</v>
      </c>
      <c r="F603" s="488">
        <f t="shared" si="128"/>
        <v>0</v>
      </c>
      <c r="G603" s="484"/>
      <c r="H603" s="488"/>
      <c r="I603" s="488"/>
      <c r="J603" s="488"/>
      <c r="K603" s="488"/>
      <c r="L603" s="490"/>
      <c r="M603" s="488">
        <v>18000</v>
      </c>
      <c r="N603" s="488"/>
      <c r="O603" s="470">
        <f t="shared" si="118"/>
        <v>0</v>
      </c>
      <c r="P603" s="521"/>
      <c r="Q603" s="1166"/>
    </row>
    <row r="604" spans="1:17" ht="16.5">
      <c r="A604" s="173"/>
      <c r="B604" s="221"/>
      <c r="C604" s="210" t="s">
        <v>1056</v>
      </c>
      <c r="D604" s="490"/>
      <c r="E604" s="488">
        <v>9000</v>
      </c>
      <c r="F604" s="488">
        <f t="shared" si="128"/>
        <v>9000</v>
      </c>
      <c r="G604" s="484">
        <f t="shared" si="125"/>
        <v>9000</v>
      </c>
      <c r="H604" s="488">
        <f>E604</f>
        <v>9000</v>
      </c>
      <c r="I604" s="488"/>
      <c r="J604" s="488"/>
      <c r="K604" s="488"/>
      <c r="L604" s="490"/>
      <c r="M604" s="488">
        <f>12*1200</f>
        <v>14400</v>
      </c>
      <c r="N604" s="488">
        <f>800*12</f>
        <v>9600</v>
      </c>
      <c r="O604" s="470">
        <f t="shared" si="118"/>
        <v>9600</v>
      </c>
      <c r="P604" s="488"/>
      <c r="Q604" s="622" t="s">
        <v>1057</v>
      </c>
    </row>
    <row r="605" spans="1:17" ht="16.5">
      <c r="A605" s="173"/>
      <c r="B605" s="221"/>
      <c r="C605" s="210" t="s">
        <v>1058</v>
      </c>
      <c r="D605" s="490"/>
      <c r="E605" s="488"/>
      <c r="F605" s="491">
        <f t="shared" si="128"/>
        <v>0</v>
      </c>
      <c r="G605" s="484"/>
      <c r="H605" s="488"/>
      <c r="I605" s="488"/>
      <c r="J605" s="488"/>
      <c r="K605" s="488"/>
      <c r="L605" s="490"/>
      <c r="M605" s="488">
        <v>24000</v>
      </c>
      <c r="N605" s="488">
        <v>24000</v>
      </c>
      <c r="O605" s="470">
        <f t="shared" si="118"/>
        <v>24000</v>
      </c>
      <c r="P605" s="488"/>
      <c r="Q605" s="622"/>
    </row>
    <row r="606" spans="1:17" ht="16.5">
      <c r="A606" s="171" t="s">
        <v>1228</v>
      </c>
      <c r="B606" s="221"/>
      <c r="C606" s="217" t="s">
        <v>540</v>
      </c>
      <c r="D606" s="490"/>
      <c r="E606" s="491">
        <f>SUM(E607:E608)</f>
        <v>40000</v>
      </c>
      <c r="F606" s="491">
        <f>SUM(F607:F613)</f>
        <v>20000</v>
      </c>
      <c r="G606" s="491">
        <f>SUM(G607:G613)</f>
        <v>20000</v>
      </c>
      <c r="H606" s="491">
        <f>SUM(H607:H613)</f>
        <v>20000</v>
      </c>
      <c r="I606" s="491">
        <f>SUM(I607:I608)</f>
        <v>0</v>
      </c>
      <c r="J606" s="491"/>
      <c r="K606" s="491"/>
      <c r="L606" s="492"/>
      <c r="M606" s="491">
        <f>SUM(M607:M613)</f>
        <v>365000</v>
      </c>
      <c r="N606" s="491">
        <f>SUM(N607:N613)</f>
        <v>310000</v>
      </c>
      <c r="O606" s="466">
        <f t="shared" si="118"/>
        <v>310000</v>
      </c>
      <c r="P606" s="491"/>
      <c r="Q606" s="622"/>
    </row>
    <row r="607" spans="1:17" ht="16.5">
      <c r="A607" s="173"/>
      <c r="B607" s="221"/>
      <c r="C607" s="210" t="s">
        <v>1059</v>
      </c>
      <c r="D607" s="490"/>
      <c r="E607" s="488">
        <v>20000</v>
      </c>
      <c r="F607" s="488">
        <f t="shared" si="128"/>
        <v>10000</v>
      </c>
      <c r="G607" s="484">
        <f t="shared" si="125"/>
        <v>10000</v>
      </c>
      <c r="H607" s="488">
        <v>10000</v>
      </c>
      <c r="I607" s="488"/>
      <c r="J607" s="488"/>
      <c r="K607" s="488"/>
      <c r="L607" s="490"/>
      <c r="M607" s="488">
        <v>20000</v>
      </c>
      <c r="N607" s="488">
        <v>10000</v>
      </c>
      <c r="O607" s="470">
        <f t="shared" si="118"/>
        <v>10000</v>
      </c>
      <c r="P607" s="488"/>
      <c r="Q607" s="635"/>
    </row>
    <row r="608" spans="1:17" ht="16.5">
      <c r="A608" s="173"/>
      <c r="B608" s="221"/>
      <c r="C608" s="210" t="s">
        <v>617</v>
      </c>
      <c r="D608" s="490"/>
      <c r="E608" s="488">
        <v>20000</v>
      </c>
      <c r="F608" s="488">
        <f t="shared" si="128"/>
        <v>10000</v>
      </c>
      <c r="G608" s="484">
        <f t="shared" si="125"/>
        <v>10000</v>
      </c>
      <c r="H608" s="488">
        <v>10000</v>
      </c>
      <c r="I608" s="488"/>
      <c r="J608" s="488"/>
      <c r="K608" s="488"/>
      <c r="L608" s="490"/>
      <c r="M608" s="488">
        <v>20000</v>
      </c>
      <c r="N608" s="488">
        <v>10000</v>
      </c>
      <c r="O608" s="470">
        <f t="shared" si="118"/>
        <v>10000</v>
      </c>
      <c r="P608" s="488"/>
      <c r="Q608" s="635"/>
    </row>
    <row r="609" spans="1:18" ht="16.5">
      <c r="A609" s="173"/>
      <c r="B609" s="221"/>
      <c r="C609" s="210" t="s">
        <v>541</v>
      </c>
      <c r="D609" s="490"/>
      <c r="E609" s="488"/>
      <c r="F609" s="488">
        <f t="shared" si="128"/>
        <v>0</v>
      </c>
      <c r="G609" s="484"/>
      <c r="H609" s="488"/>
      <c r="I609" s="488"/>
      <c r="J609" s="488"/>
      <c r="K609" s="488"/>
      <c r="L609" s="490"/>
      <c r="M609" s="488">
        <v>45000</v>
      </c>
      <c r="N609" s="488">
        <v>10000</v>
      </c>
      <c r="O609" s="470">
        <f t="shared" si="118"/>
        <v>10000</v>
      </c>
      <c r="P609" s="488"/>
      <c r="Q609" s="635"/>
    </row>
    <row r="610" spans="1:18" ht="16.5">
      <c r="A610" s="173"/>
      <c r="B610" s="221"/>
      <c r="C610" s="210" t="s">
        <v>1060</v>
      </c>
      <c r="D610" s="490"/>
      <c r="E610" s="488"/>
      <c r="F610" s="488">
        <f t="shared" si="128"/>
        <v>0</v>
      </c>
      <c r="G610" s="484"/>
      <c r="H610" s="488"/>
      <c r="I610" s="488"/>
      <c r="J610" s="488"/>
      <c r="K610" s="488"/>
      <c r="L610" s="490"/>
      <c r="M610" s="488">
        <v>90000</v>
      </c>
      <c r="N610" s="488">
        <v>90000</v>
      </c>
      <c r="O610" s="470">
        <f t="shared" si="118"/>
        <v>90000</v>
      </c>
      <c r="P610" s="488"/>
      <c r="Q610" s="635"/>
    </row>
    <row r="611" spans="1:18" ht="16.5">
      <c r="A611" s="173"/>
      <c r="B611" s="221"/>
      <c r="C611" s="210" t="s">
        <v>1061</v>
      </c>
      <c r="D611" s="490"/>
      <c r="E611" s="488"/>
      <c r="F611" s="488">
        <f t="shared" si="128"/>
        <v>0</v>
      </c>
      <c r="G611" s="484"/>
      <c r="H611" s="488"/>
      <c r="I611" s="488"/>
      <c r="J611" s="488"/>
      <c r="K611" s="488"/>
      <c r="L611" s="490"/>
      <c r="M611" s="488">
        <v>25000</v>
      </c>
      <c r="N611" s="488">
        <v>25000</v>
      </c>
      <c r="O611" s="470">
        <f t="shared" si="118"/>
        <v>25000</v>
      </c>
      <c r="P611" s="488"/>
      <c r="Q611" s="635"/>
    </row>
    <row r="612" spans="1:18" ht="16.5">
      <c r="A612" s="173"/>
      <c r="B612" s="221"/>
      <c r="C612" s="210" t="s">
        <v>1062</v>
      </c>
      <c r="D612" s="490"/>
      <c r="E612" s="488"/>
      <c r="F612" s="488">
        <f t="shared" si="128"/>
        <v>0</v>
      </c>
      <c r="G612" s="484"/>
      <c r="H612" s="488"/>
      <c r="I612" s="488"/>
      <c r="J612" s="488"/>
      <c r="K612" s="488"/>
      <c r="L612" s="490"/>
      <c r="M612" s="488">
        <v>15000</v>
      </c>
      <c r="N612" s="488">
        <v>15000</v>
      </c>
      <c r="O612" s="470">
        <f t="shared" si="118"/>
        <v>15000</v>
      </c>
      <c r="P612" s="488"/>
      <c r="Q612" s="635"/>
    </row>
    <row r="613" spans="1:18" ht="16.5">
      <c r="A613" s="173"/>
      <c r="B613" s="221"/>
      <c r="C613" s="210" t="s">
        <v>1063</v>
      </c>
      <c r="D613" s="490"/>
      <c r="E613" s="488"/>
      <c r="F613" s="488">
        <f t="shared" si="128"/>
        <v>0</v>
      </c>
      <c r="G613" s="484"/>
      <c r="H613" s="488"/>
      <c r="I613" s="488"/>
      <c r="J613" s="488"/>
      <c r="K613" s="488"/>
      <c r="L613" s="490"/>
      <c r="M613" s="488">
        <v>150000</v>
      </c>
      <c r="N613" s="488">
        <v>150000</v>
      </c>
      <c r="O613" s="470">
        <f t="shared" si="118"/>
        <v>150000</v>
      </c>
      <c r="P613" s="488"/>
      <c r="Q613" s="635"/>
    </row>
    <row r="614" spans="1:18" ht="16.5">
      <c r="A614" s="171" t="s">
        <v>1229</v>
      </c>
      <c r="B614" s="221"/>
      <c r="C614" s="217" t="s">
        <v>1203</v>
      </c>
      <c r="D614" s="490"/>
      <c r="E614" s="488"/>
      <c r="F614" s="488"/>
      <c r="G614" s="484"/>
      <c r="H614" s="488"/>
      <c r="I614" s="488"/>
      <c r="J614" s="488"/>
      <c r="K614" s="488"/>
      <c r="L614" s="490"/>
      <c r="M614" s="491">
        <v>170000</v>
      </c>
      <c r="N614" s="491">
        <v>170000</v>
      </c>
      <c r="O614" s="466">
        <f t="shared" si="118"/>
        <v>170000</v>
      </c>
      <c r="P614" s="488"/>
      <c r="Q614" s="635"/>
    </row>
    <row r="615" spans="1:18" ht="16.5">
      <c r="A615" s="478" t="s">
        <v>283</v>
      </c>
      <c r="B615" s="555"/>
      <c r="C615" s="556" t="s">
        <v>176</v>
      </c>
      <c r="D615" s="490"/>
      <c r="E615" s="472">
        <f t="shared" ref="E615:N615" si="130">E616+E644</f>
        <v>6851828.7839612905</v>
      </c>
      <c r="F615" s="472">
        <f t="shared" si="130"/>
        <v>6907970.7839612905</v>
      </c>
      <c r="G615" s="472">
        <f t="shared" si="130"/>
        <v>6690228.7839612905</v>
      </c>
      <c r="H615" s="472">
        <f t="shared" si="130"/>
        <v>6670228.7839612905</v>
      </c>
      <c r="I615" s="472">
        <f t="shared" si="130"/>
        <v>20000</v>
      </c>
      <c r="J615" s="472">
        <f t="shared" si="130"/>
        <v>217742</v>
      </c>
      <c r="K615" s="472">
        <f t="shared" si="130"/>
        <v>0</v>
      </c>
      <c r="L615" s="471">
        <f t="shared" si="130"/>
        <v>0</v>
      </c>
      <c r="M615" s="472">
        <f t="shared" si="130"/>
        <v>8462188.3522677422</v>
      </c>
      <c r="N615" s="472">
        <f t="shared" si="130"/>
        <v>8263388.3522677422</v>
      </c>
      <c r="O615" s="466">
        <f t="shared" si="118"/>
        <v>8263388.3522677422</v>
      </c>
      <c r="P615" s="472"/>
      <c r="Q615" s="630"/>
      <c r="R615" s="119"/>
    </row>
    <row r="616" spans="1:18" ht="16.5">
      <c r="A616" s="557">
        <v>1</v>
      </c>
      <c r="B616" s="555"/>
      <c r="C616" s="480" t="s">
        <v>90</v>
      </c>
      <c r="D616" s="558"/>
      <c r="E616" s="559">
        <f>E618+E635</f>
        <v>6205833.8604612909</v>
      </c>
      <c r="F616" s="559">
        <f>G616+J616</f>
        <v>6378835.8604612909</v>
      </c>
      <c r="G616" s="472">
        <f t="shared" ref="G616:N616" si="131">G618+G635</f>
        <v>6171333.8604612909</v>
      </c>
      <c r="H616" s="472">
        <f t="shared" si="131"/>
        <v>6171333.8604612909</v>
      </c>
      <c r="I616" s="472">
        <f t="shared" si="131"/>
        <v>0</v>
      </c>
      <c r="J616" s="472">
        <f t="shared" si="131"/>
        <v>207502</v>
      </c>
      <c r="K616" s="472">
        <f t="shared" si="131"/>
        <v>0</v>
      </c>
      <c r="L616" s="471">
        <f t="shared" si="131"/>
        <v>0</v>
      </c>
      <c r="M616" s="472">
        <f t="shared" si="131"/>
        <v>7972952.8207177427</v>
      </c>
      <c r="N616" s="472">
        <f t="shared" si="131"/>
        <v>7786952.8207177427</v>
      </c>
      <c r="O616" s="466">
        <f t="shared" si="118"/>
        <v>7786952.8207177427</v>
      </c>
      <c r="P616" s="472"/>
      <c r="Q616" s="630"/>
      <c r="R616" s="119"/>
    </row>
    <row r="617" spans="1:18" ht="16.5">
      <c r="A617" s="557"/>
      <c r="B617" s="555"/>
      <c r="C617" s="480" t="s">
        <v>1064</v>
      </c>
      <c r="D617" s="558"/>
      <c r="E617" s="559"/>
      <c r="F617" s="559"/>
      <c r="G617" s="472"/>
      <c r="H617" s="472"/>
      <c r="I617" s="472"/>
      <c r="J617" s="472"/>
      <c r="K617" s="472"/>
      <c r="L617" s="471"/>
      <c r="M617" s="472">
        <v>200000</v>
      </c>
      <c r="N617" s="472">
        <v>200000</v>
      </c>
      <c r="O617" s="466">
        <v>200000</v>
      </c>
      <c r="P617" s="472"/>
      <c r="Q617" s="653" t="s">
        <v>1065</v>
      </c>
      <c r="R617" s="119"/>
    </row>
    <row r="618" spans="1:18" ht="16.5">
      <c r="A618" s="560" t="s">
        <v>1066</v>
      </c>
      <c r="B618" s="561"/>
      <c r="C618" s="562" t="s">
        <v>1067</v>
      </c>
      <c r="D618" s="563"/>
      <c r="E618" s="559">
        <f>E619+E624</f>
        <v>6053833.8604612909</v>
      </c>
      <c r="F618" s="559">
        <f>G618+J618</f>
        <v>6261335.8604612909</v>
      </c>
      <c r="G618" s="472">
        <f t="shared" ref="G618:N618" si="132">G619+G624</f>
        <v>6053833.8604612909</v>
      </c>
      <c r="H618" s="472">
        <f t="shared" si="132"/>
        <v>6053833.8604612909</v>
      </c>
      <c r="I618" s="472">
        <f t="shared" si="132"/>
        <v>0</v>
      </c>
      <c r="J618" s="472">
        <f t="shared" si="132"/>
        <v>207502</v>
      </c>
      <c r="K618" s="472">
        <f t="shared" si="132"/>
        <v>0</v>
      </c>
      <c r="L618" s="471">
        <f t="shared" si="132"/>
        <v>0</v>
      </c>
      <c r="M618" s="472">
        <f t="shared" si="132"/>
        <v>7642452.8207177427</v>
      </c>
      <c r="N618" s="472">
        <f t="shared" si="132"/>
        <v>7642452.8207177427</v>
      </c>
      <c r="O618" s="466">
        <f t="shared" si="118"/>
        <v>7642452.8207177427</v>
      </c>
      <c r="P618" s="472"/>
      <c r="Q618" s="630"/>
      <c r="R618" s="119"/>
    </row>
    <row r="619" spans="1:18" ht="16.5">
      <c r="A619" s="560"/>
      <c r="B619" s="561"/>
      <c r="C619" s="564" t="s">
        <v>1068</v>
      </c>
      <c r="D619" s="563"/>
      <c r="E619" s="559">
        <f>E620+E623</f>
        <v>3198866.5737000005</v>
      </c>
      <c r="F619" s="559">
        <f t="shared" ref="F619:F643" si="133">G619+J619</f>
        <v>3299434.5737000005</v>
      </c>
      <c r="G619" s="472">
        <f t="shared" ref="G619:N619" si="134">G620+G623</f>
        <v>3198866.5737000005</v>
      </c>
      <c r="H619" s="472">
        <f t="shared" si="134"/>
        <v>3198866.5737000005</v>
      </c>
      <c r="I619" s="472">
        <f t="shared" si="134"/>
        <v>0</v>
      </c>
      <c r="J619" s="472">
        <f t="shared" si="134"/>
        <v>100568</v>
      </c>
      <c r="K619" s="472">
        <f t="shared" si="134"/>
        <v>0</v>
      </c>
      <c r="L619" s="471">
        <f t="shared" si="134"/>
        <v>0</v>
      </c>
      <c r="M619" s="472">
        <f t="shared" si="134"/>
        <v>3450012.2761499998</v>
      </c>
      <c r="N619" s="472">
        <f t="shared" si="134"/>
        <v>3450012.2761499998</v>
      </c>
      <c r="O619" s="466">
        <f t="shared" si="118"/>
        <v>3450012.2761499998</v>
      </c>
      <c r="P619" s="472"/>
      <c r="Q619" s="622"/>
      <c r="R619" s="119"/>
    </row>
    <row r="620" spans="1:18" ht="16.5">
      <c r="A620" s="565"/>
      <c r="B620" s="561"/>
      <c r="C620" s="562" t="s">
        <v>1069</v>
      </c>
      <c r="D620" s="563"/>
      <c r="E620" s="559">
        <f>(E621+E622)</f>
        <v>2598769.1234400002</v>
      </c>
      <c r="F620" s="559">
        <f t="shared" si="133"/>
        <v>2699337.1234400002</v>
      </c>
      <c r="G620" s="472">
        <f>(G621+G622)</f>
        <v>2598769.1234400002</v>
      </c>
      <c r="H620" s="472">
        <f>(H621+H622)</f>
        <v>2598769.1234400002</v>
      </c>
      <c r="I620" s="472">
        <f t="shared" ref="I620:J620" si="135">(I621+I622)</f>
        <v>0</v>
      </c>
      <c r="J620" s="472">
        <f t="shared" si="135"/>
        <v>100568</v>
      </c>
      <c r="K620" s="472"/>
      <c r="L620" s="471"/>
      <c r="M620" s="472">
        <f>(M621+M622)</f>
        <v>2833392.6521999999</v>
      </c>
      <c r="N620" s="472">
        <f>(N621+N622)</f>
        <v>2833392.6521999999</v>
      </c>
      <c r="O620" s="466">
        <f t="shared" si="118"/>
        <v>2833392.6521999999</v>
      </c>
      <c r="P620" s="472"/>
      <c r="Q620" s="622"/>
      <c r="R620" s="119"/>
    </row>
    <row r="621" spans="1:18" ht="16.5">
      <c r="A621" s="173"/>
      <c r="B621" s="221"/>
      <c r="C621" s="170" t="s">
        <v>618</v>
      </c>
      <c r="D621" s="489">
        <f>77.66+0.8932+3.7+2.3+45.1514+0.3+9.2+2.482+4.3</f>
        <v>145.98660000000001</v>
      </c>
      <c r="E621" s="488">
        <f>D621*1310*12</f>
        <v>2294909.3520000004</v>
      </c>
      <c r="F621" s="566">
        <f t="shared" si="133"/>
        <v>2395477.3520000004</v>
      </c>
      <c r="G621" s="484">
        <f t="shared" si="125"/>
        <v>2294909.3520000004</v>
      </c>
      <c r="H621" s="488">
        <f>E621</f>
        <v>2294909.3520000004</v>
      </c>
      <c r="I621" s="488"/>
      <c r="J621" s="488">
        <v>100568</v>
      </c>
      <c r="K621" s="488"/>
      <c r="L621" s="489">
        <f>79.38+3.7+1.015+2.3+46.15754+4.3+9.2+3.814+0.3</f>
        <v>150.16654</v>
      </c>
      <c r="M621" s="488">
        <f>L621*1390*12</f>
        <v>2504777.8871999998</v>
      </c>
      <c r="N621" s="488">
        <f>M621</f>
        <v>2504777.8871999998</v>
      </c>
      <c r="O621" s="470">
        <f t="shared" si="118"/>
        <v>2504777.8871999998</v>
      </c>
      <c r="P621" s="488"/>
      <c r="Q621" s="634"/>
    </row>
    <row r="622" spans="1:18" ht="16.5">
      <c r="A622" s="173"/>
      <c r="B622" s="221"/>
      <c r="C622" s="170" t="s">
        <v>733</v>
      </c>
      <c r="D622" s="489">
        <f>(77.66+0.8932+3.7)*23.5%</f>
        <v>19.329501999999998</v>
      </c>
      <c r="E622" s="488">
        <f>D622*1310*12</f>
        <v>303859.77143999992</v>
      </c>
      <c r="F622" s="566">
        <f t="shared" si="133"/>
        <v>303859.77143999992</v>
      </c>
      <c r="G622" s="484">
        <f t="shared" si="125"/>
        <v>303859.77143999992</v>
      </c>
      <c r="H622" s="488">
        <f>E622</f>
        <v>303859.77143999992</v>
      </c>
      <c r="I622" s="488"/>
      <c r="J622" s="488"/>
      <c r="K622" s="488"/>
      <c r="L622" s="489">
        <f>(79.38+3.7+1.015)*23.5%-(5.42+0.7)*1%</f>
        <v>19.701124999999998</v>
      </c>
      <c r="M622" s="488">
        <f>L622*1390*12</f>
        <v>328614.76499999996</v>
      </c>
      <c r="N622" s="488">
        <f>M622</f>
        <v>328614.76499999996</v>
      </c>
      <c r="O622" s="470">
        <f t="shared" si="118"/>
        <v>328614.76499999996</v>
      </c>
      <c r="P622" s="488"/>
      <c r="Q622" s="622"/>
    </row>
    <row r="623" spans="1:18" ht="16.5">
      <c r="A623" s="173"/>
      <c r="B623" s="221"/>
      <c r="C623" s="169" t="s">
        <v>1070</v>
      </c>
      <c r="D623" s="490"/>
      <c r="E623" s="491">
        <f>(D621+D622)*1210*12*20/80</f>
        <v>600097.45026000007</v>
      </c>
      <c r="F623" s="559">
        <f t="shared" si="133"/>
        <v>600097.45026000007</v>
      </c>
      <c r="G623" s="472">
        <f>H623+I623</f>
        <v>600097.45026000007</v>
      </c>
      <c r="H623" s="491">
        <f>E623</f>
        <v>600097.45026000007</v>
      </c>
      <c r="I623" s="491"/>
      <c r="J623" s="491"/>
      <c r="K623" s="491"/>
      <c r="L623" s="492"/>
      <c r="M623" s="491">
        <f>(L621+L622)*1210*20/80*12</f>
        <v>616619.62394999992</v>
      </c>
      <c r="N623" s="491">
        <f>M623</f>
        <v>616619.62394999992</v>
      </c>
      <c r="O623" s="466">
        <f t="shared" si="118"/>
        <v>616619.62394999992</v>
      </c>
      <c r="P623" s="491"/>
      <c r="Q623" s="622"/>
    </row>
    <row r="624" spans="1:18" ht="16.5">
      <c r="A624" s="173"/>
      <c r="B624" s="221"/>
      <c r="C624" s="214" t="s">
        <v>1071</v>
      </c>
      <c r="D624" s="490"/>
      <c r="E624" s="491">
        <f>E625+E634+E628</f>
        <v>2854967.2867612899</v>
      </c>
      <c r="F624" s="559">
        <f t="shared" si="133"/>
        <v>2961901.2867612899</v>
      </c>
      <c r="G624" s="491">
        <f t="shared" ref="G624:L624" si="136">G625+G634+G628</f>
        <v>2854967.2867612899</v>
      </c>
      <c r="H624" s="491">
        <f t="shared" si="136"/>
        <v>2854967.2867612899</v>
      </c>
      <c r="I624" s="491">
        <f t="shared" si="136"/>
        <v>0</v>
      </c>
      <c r="J624" s="491">
        <f t="shared" si="136"/>
        <v>106934</v>
      </c>
      <c r="K624" s="491">
        <f t="shared" si="136"/>
        <v>0</v>
      </c>
      <c r="L624" s="492">
        <f t="shared" si="136"/>
        <v>0</v>
      </c>
      <c r="M624" s="491">
        <f>M625+M634+M628+M631</f>
        <v>4192440.5445677424</v>
      </c>
      <c r="N624" s="491">
        <f t="shared" ref="N624:O624" si="137">N625+N634+N628+N631</f>
        <v>4192440.5445677424</v>
      </c>
      <c r="O624" s="491">
        <f t="shared" si="137"/>
        <v>4192440.5445677424</v>
      </c>
      <c r="P624" s="491"/>
      <c r="Q624" s="622"/>
    </row>
    <row r="625" spans="1:17" ht="16.5">
      <c r="A625" s="173"/>
      <c r="B625" s="221"/>
      <c r="C625" s="217" t="s">
        <v>1072</v>
      </c>
      <c r="D625" s="490"/>
      <c r="E625" s="491">
        <f>E626+E627</f>
        <v>2622012.8097599996</v>
      </c>
      <c r="F625" s="559">
        <f>G625+J625</f>
        <v>2728946.8097599996</v>
      </c>
      <c r="G625" s="472">
        <f t="shared" ref="G625:G634" si="138">H625+I625</f>
        <v>2622012.8097599996</v>
      </c>
      <c r="H625" s="491">
        <f>H626+H627</f>
        <v>2622012.8097599996</v>
      </c>
      <c r="I625" s="491">
        <f t="shared" ref="I625:J625" si="139">I626+I627</f>
        <v>0</v>
      </c>
      <c r="J625" s="491">
        <f t="shared" si="139"/>
        <v>106934</v>
      </c>
      <c r="K625" s="491"/>
      <c r="L625" s="492"/>
      <c r="M625" s="491">
        <f>M626+M627</f>
        <v>2741797.6848000004</v>
      </c>
      <c r="N625" s="491">
        <f>N626+N627</f>
        <v>2741797.6848000004</v>
      </c>
      <c r="O625" s="466">
        <f t="shared" ref="O625:O691" si="140">N625</f>
        <v>2741797.6848000004</v>
      </c>
      <c r="P625" s="491"/>
      <c r="Q625" s="622"/>
    </row>
    <row r="626" spans="1:17" ht="16.5">
      <c r="A626" s="173"/>
      <c r="B626" s="221"/>
      <c r="C626" s="210" t="s">
        <v>1073</v>
      </c>
      <c r="D626" s="489">
        <f>96.02+0.9228+0.15+0.8+2.2+39.0971+0.6+4</f>
        <v>143.78989999999999</v>
      </c>
      <c r="E626" s="488">
        <f>D626*1310*12</f>
        <v>2260377.2279999997</v>
      </c>
      <c r="F626" s="566">
        <f t="shared" si="133"/>
        <v>2367311.2279999997</v>
      </c>
      <c r="G626" s="484">
        <f t="shared" si="138"/>
        <v>2260377.2279999997</v>
      </c>
      <c r="H626" s="488">
        <f>E626</f>
        <v>2260377.2279999997</v>
      </c>
      <c r="I626" s="491"/>
      <c r="J626" s="488">
        <v>106934</v>
      </c>
      <c r="K626" s="491"/>
      <c r="L626" s="505">
        <f>94.15+1.036+0.15+1.2+2.1+38.5544+0.5+4</f>
        <v>141.69040000000001</v>
      </c>
      <c r="M626" s="488">
        <f>L626*1390*12</f>
        <v>2363395.8720000004</v>
      </c>
      <c r="N626" s="488">
        <f>M626</f>
        <v>2363395.8720000004</v>
      </c>
      <c r="O626" s="470">
        <f t="shared" si="140"/>
        <v>2363395.8720000004</v>
      </c>
      <c r="P626" s="488"/>
      <c r="Q626" s="622"/>
    </row>
    <row r="627" spans="1:17" ht="16.5">
      <c r="A627" s="173"/>
      <c r="B627" s="221"/>
      <c r="C627" s="170" t="s">
        <v>733</v>
      </c>
      <c r="D627" s="489">
        <f>(96.02+0.9228+0.15+0.8)*23.5%</f>
        <v>23.004807999999997</v>
      </c>
      <c r="E627" s="488">
        <f>D627*1310*12</f>
        <v>361635.58175999997</v>
      </c>
      <c r="F627" s="566">
        <f t="shared" si="133"/>
        <v>361635.58175999997</v>
      </c>
      <c r="G627" s="484">
        <f t="shared" si="138"/>
        <v>361635.58175999997</v>
      </c>
      <c r="H627" s="488">
        <f>E627</f>
        <v>361635.58175999997</v>
      </c>
      <c r="I627" s="491"/>
      <c r="J627" s="491"/>
      <c r="K627" s="491"/>
      <c r="L627" s="505">
        <f>(94.15+1.036+0.15+1.2)*23.5%</f>
        <v>22.685960000000001</v>
      </c>
      <c r="M627" s="488">
        <f>L627*1390*12</f>
        <v>378401.81280000001</v>
      </c>
      <c r="N627" s="488">
        <f>M627</f>
        <v>378401.81280000001</v>
      </c>
      <c r="O627" s="470">
        <f t="shared" si="140"/>
        <v>378401.81280000001</v>
      </c>
      <c r="P627" s="488"/>
      <c r="Q627" s="622"/>
    </row>
    <row r="628" spans="1:17" ht="16.5">
      <c r="A628" s="173"/>
      <c r="B628" s="221"/>
      <c r="C628" s="169" t="s">
        <v>1074</v>
      </c>
      <c r="D628" s="490"/>
      <c r="E628" s="464">
        <f>E629+E630</f>
        <v>47370.648000000001</v>
      </c>
      <c r="F628" s="559">
        <f>G628+J628</f>
        <v>47370.648000000001</v>
      </c>
      <c r="G628" s="472">
        <f t="shared" si="138"/>
        <v>47370.648000000001</v>
      </c>
      <c r="H628" s="464">
        <f>H629+H630</f>
        <v>47370.648000000001</v>
      </c>
      <c r="I628" s="491"/>
      <c r="J628" s="491"/>
      <c r="K628" s="491"/>
      <c r="L628" s="492"/>
      <c r="M628" s="464">
        <f>M629+M630</f>
        <v>89855.160000000018</v>
      </c>
      <c r="N628" s="464">
        <f>N629+N630</f>
        <v>89855.160000000018</v>
      </c>
      <c r="O628" s="466">
        <f t="shared" si="140"/>
        <v>89855.160000000018</v>
      </c>
      <c r="P628" s="464"/>
      <c r="Q628" s="622"/>
    </row>
    <row r="629" spans="1:17" ht="16.5">
      <c r="A629" s="173"/>
      <c r="B629" s="221"/>
      <c r="C629" s="210" t="s">
        <v>324</v>
      </c>
      <c r="D629" s="487">
        <f>2.34+0.1</f>
        <v>2.44</v>
      </c>
      <c r="E629" s="488">
        <f>D629*1310*12</f>
        <v>38356.800000000003</v>
      </c>
      <c r="F629" s="566">
        <f t="shared" si="133"/>
        <v>38356.800000000003</v>
      </c>
      <c r="G629" s="484">
        <f t="shared" si="138"/>
        <v>38356.800000000003</v>
      </c>
      <c r="H629" s="488">
        <f>E629</f>
        <v>38356.800000000003</v>
      </c>
      <c r="I629" s="491"/>
      <c r="J629" s="491"/>
      <c r="K629" s="491"/>
      <c r="L629" s="489">
        <f>2.34+1.86+0.2</f>
        <v>4.4000000000000004</v>
      </c>
      <c r="M629" s="488">
        <f>L629*1390*12</f>
        <v>73392.000000000015</v>
      </c>
      <c r="N629" s="488">
        <f t="shared" ref="N629:N634" si="141">M629</f>
        <v>73392.000000000015</v>
      </c>
      <c r="O629" s="470">
        <f t="shared" si="140"/>
        <v>73392.000000000015</v>
      </c>
      <c r="P629" s="488"/>
      <c r="Q629" s="622"/>
    </row>
    <row r="630" spans="1:17" ht="16.5">
      <c r="A630" s="173"/>
      <c r="B630" s="221"/>
      <c r="C630" s="170" t="s">
        <v>733</v>
      </c>
      <c r="D630" s="487">
        <f>(2.34+0.1)*23.5%</f>
        <v>0.57339999999999991</v>
      </c>
      <c r="E630" s="488">
        <f>D630*1310*12</f>
        <v>9013.8479999999981</v>
      </c>
      <c r="F630" s="566">
        <f t="shared" si="133"/>
        <v>9013.8479999999981</v>
      </c>
      <c r="G630" s="484">
        <f t="shared" si="138"/>
        <v>9013.8479999999981</v>
      </c>
      <c r="H630" s="488">
        <f>E630</f>
        <v>9013.8479999999981</v>
      </c>
      <c r="I630" s="491"/>
      <c r="J630" s="491"/>
      <c r="K630" s="491"/>
      <c r="L630" s="489">
        <f>(2.34+1.86)*23.5%</f>
        <v>0.98699999999999999</v>
      </c>
      <c r="M630" s="488">
        <f>L630*1390*12</f>
        <v>16463.16</v>
      </c>
      <c r="N630" s="488">
        <f t="shared" si="141"/>
        <v>16463.16</v>
      </c>
      <c r="O630" s="470">
        <f t="shared" si="140"/>
        <v>16463.16</v>
      </c>
      <c r="P630" s="488"/>
      <c r="Q630" s="622"/>
    </row>
    <row r="631" spans="1:17" ht="18" customHeight="1">
      <c r="A631" s="173"/>
      <c r="B631" s="221"/>
      <c r="C631" s="169" t="s">
        <v>1165</v>
      </c>
      <c r="D631" s="487"/>
      <c r="E631" s="488"/>
      <c r="F631" s="566"/>
      <c r="G631" s="484"/>
      <c r="H631" s="488"/>
      <c r="I631" s="491"/>
      <c r="J631" s="491"/>
      <c r="K631" s="491"/>
      <c r="L631" s="489"/>
      <c r="M631" s="491">
        <f>M632+M633</f>
        <v>1102983.348</v>
      </c>
      <c r="N631" s="491">
        <f>M631</f>
        <v>1102983.348</v>
      </c>
      <c r="O631" s="466">
        <f t="shared" si="140"/>
        <v>1102983.348</v>
      </c>
      <c r="P631" s="488"/>
      <c r="Q631" s="622"/>
    </row>
    <row r="632" spans="1:17" ht="16.5">
      <c r="A632" s="173"/>
      <c r="B632" s="221"/>
      <c r="C632" s="170" t="s">
        <v>1166</v>
      </c>
      <c r="E632" s="488"/>
      <c r="F632" s="566"/>
      <c r="G632" s="484"/>
      <c r="H632" s="488"/>
      <c r="I632" s="491"/>
      <c r="J632" s="491"/>
      <c r="K632" s="491"/>
      <c r="L632" s="487">
        <f>45.26+1.8+8.43</f>
        <v>55.489999999999995</v>
      </c>
      <c r="M632" s="461">
        <f>L632*1390*12</f>
        <v>925573.2</v>
      </c>
      <c r="N632" s="461">
        <f t="shared" si="141"/>
        <v>925573.2</v>
      </c>
      <c r="O632" s="470">
        <f>N632</f>
        <v>925573.2</v>
      </c>
      <c r="P632" s="488"/>
      <c r="Q632" s="622"/>
    </row>
    <row r="633" spans="1:17" ht="16.5">
      <c r="A633" s="173"/>
      <c r="B633" s="221"/>
      <c r="C633" s="170" t="s">
        <v>1167</v>
      </c>
      <c r="E633" s="488"/>
      <c r="F633" s="566"/>
      <c r="G633" s="484"/>
      <c r="H633" s="488"/>
      <c r="I633" s="491"/>
      <c r="J633" s="491"/>
      <c r="K633" s="491"/>
      <c r="L633" s="487">
        <f>45.26*23.5%</f>
        <v>10.636099999999999</v>
      </c>
      <c r="M633" s="461">
        <f>L633*1390*12</f>
        <v>177410.14799999999</v>
      </c>
      <c r="N633" s="461">
        <f t="shared" si="141"/>
        <v>177410.14799999999</v>
      </c>
      <c r="O633" s="470">
        <f>N633</f>
        <v>177410.14799999999</v>
      </c>
      <c r="P633" s="488"/>
      <c r="Q633" s="622"/>
    </row>
    <row r="634" spans="1:17" ht="16.5">
      <c r="A634" s="173"/>
      <c r="B634" s="221"/>
      <c r="C634" s="169" t="s">
        <v>1075</v>
      </c>
      <c r="D634" s="492"/>
      <c r="E634" s="491">
        <f>(D629+D630+D626+D627)*1210*12*7/93</f>
        <v>185583.82900129026</v>
      </c>
      <c r="F634" s="546">
        <f t="shared" si="133"/>
        <v>185583.82900129026</v>
      </c>
      <c r="G634" s="472">
        <f t="shared" si="138"/>
        <v>185583.82900129026</v>
      </c>
      <c r="H634" s="491">
        <f>E634</f>
        <v>185583.82900129026</v>
      </c>
      <c r="I634" s="491"/>
      <c r="J634" s="491"/>
      <c r="K634" s="491"/>
      <c r="L634" s="492"/>
      <c r="M634" s="491">
        <f>(L626+L627+L629+L630+L632+L633)*1210*7/93*12</f>
        <v>257804.3517677419</v>
      </c>
      <c r="N634" s="491">
        <f t="shared" si="141"/>
        <v>257804.3517677419</v>
      </c>
      <c r="O634" s="466">
        <f t="shared" si="140"/>
        <v>257804.3517677419</v>
      </c>
      <c r="P634" s="491"/>
      <c r="Q634" s="622"/>
    </row>
    <row r="635" spans="1:17" ht="16.5">
      <c r="A635" s="171" t="s">
        <v>1076</v>
      </c>
      <c r="B635" s="221"/>
      <c r="C635" s="169" t="s">
        <v>380</v>
      </c>
      <c r="D635" s="471">
        <f>SUM(D636:D640)</f>
        <v>0</v>
      </c>
      <c r="E635" s="472">
        <f>SUM(E636:E643)</f>
        <v>152000</v>
      </c>
      <c r="F635" s="546">
        <f>G635+J635</f>
        <v>117500</v>
      </c>
      <c r="G635" s="472">
        <f>SUM(G636:G643)</f>
        <v>117500</v>
      </c>
      <c r="H635" s="472">
        <f t="shared" ref="H635:L635" si="142">SUM(H636:H643)</f>
        <v>117500</v>
      </c>
      <c r="I635" s="472">
        <f t="shared" si="142"/>
        <v>0</v>
      </c>
      <c r="J635" s="472">
        <f t="shared" si="142"/>
        <v>0</v>
      </c>
      <c r="K635" s="472">
        <f t="shared" si="142"/>
        <v>0</v>
      </c>
      <c r="L635" s="471">
        <f t="shared" si="142"/>
        <v>0</v>
      </c>
      <c r="M635" s="472">
        <f>SUM(M636:M643)</f>
        <v>330500</v>
      </c>
      <c r="N635" s="472">
        <f>SUM(N636:N643)</f>
        <v>144500</v>
      </c>
      <c r="O635" s="466">
        <f t="shared" si="140"/>
        <v>144500</v>
      </c>
      <c r="P635" s="472"/>
      <c r="Q635" s="630"/>
    </row>
    <row r="636" spans="1:17" ht="16.5">
      <c r="A636" s="173"/>
      <c r="B636" s="221"/>
      <c r="C636" s="170" t="s">
        <v>619</v>
      </c>
      <c r="D636" s="490"/>
      <c r="E636" s="488">
        <f>5000+4500+21*4000</f>
        <v>93500</v>
      </c>
      <c r="F636" s="566">
        <f t="shared" si="133"/>
        <v>93500</v>
      </c>
      <c r="G636" s="484">
        <f t="shared" ref="G636:G680" si="143">H636+I636</f>
        <v>93500</v>
      </c>
      <c r="H636" s="488">
        <v>93500</v>
      </c>
      <c r="I636" s="488"/>
      <c r="J636" s="488"/>
      <c r="K636" s="488"/>
      <c r="L636" s="490"/>
      <c r="M636" s="488">
        <v>93500</v>
      </c>
      <c r="N636" s="488">
        <v>93500</v>
      </c>
      <c r="O636" s="470">
        <f t="shared" si="140"/>
        <v>93500</v>
      </c>
      <c r="P636" s="514"/>
      <c r="Q636" s="650"/>
    </row>
    <row r="637" spans="1:17" ht="30">
      <c r="A637" s="173"/>
      <c r="B637" s="221"/>
      <c r="C637" s="170" t="s">
        <v>620</v>
      </c>
      <c r="D637" s="490"/>
      <c r="E637" s="488">
        <f>23*300*5</f>
        <v>34500</v>
      </c>
      <c r="F637" s="566">
        <f t="shared" si="133"/>
        <v>0</v>
      </c>
      <c r="G637" s="484">
        <f t="shared" si="143"/>
        <v>0</v>
      </c>
      <c r="H637" s="488"/>
      <c r="I637" s="488"/>
      <c r="J637" s="488"/>
      <c r="K637" s="488"/>
      <c r="L637" s="490"/>
      <c r="M637" s="488">
        <v>34500</v>
      </c>
      <c r="N637" s="488"/>
      <c r="O637" s="470">
        <f t="shared" si="140"/>
        <v>0</v>
      </c>
      <c r="P637" s="521"/>
      <c r="Q637" s="1193" t="s">
        <v>1008</v>
      </c>
    </row>
    <row r="638" spans="1:17" ht="16.5">
      <c r="A638" s="173"/>
      <c r="B638" s="221"/>
      <c r="C638" s="170" t="s">
        <v>1077</v>
      </c>
      <c r="D638" s="490"/>
      <c r="E638" s="488"/>
      <c r="F638" s="566"/>
      <c r="G638" s="484"/>
      <c r="H638" s="488"/>
      <c r="I638" s="488"/>
      <c r="J638" s="488"/>
      <c r="K638" s="488"/>
      <c r="L638" s="490"/>
      <c r="M638" s="488">
        <f>46000</f>
        <v>46000</v>
      </c>
      <c r="N638" s="488"/>
      <c r="O638" s="470"/>
      <c r="P638" s="521"/>
      <c r="Q638" s="1166"/>
    </row>
    <row r="639" spans="1:17" ht="16.5">
      <c r="A639" s="173"/>
      <c r="B639" s="221"/>
      <c r="C639" s="170" t="s">
        <v>1078</v>
      </c>
      <c r="D639" s="490"/>
      <c r="E639" s="488">
        <v>24000</v>
      </c>
      <c r="F639" s="566">
        <f t="shared" si="133"/>
        <v>24000</v>
      </c>
      <c r="G639" s="484">
        <v>24000</v>
      </c>
      <c r="H639" s="488">
        <v>24000</v>
      </c>
      <c r="I639" s="488"/>
      <c r="J639" s="488"/>
      <c r="K639" s="488"/>
      <c r="L639" s="490"/>
      <c r="M639" s="488">
        <v>36000</v>
      </c>
      <c r="N639" s="488">
        <v>36000</v>
      </c>
      <c r="O639" s="470">
        <f t="shared" si="140"/>
        <v>36000</v>
      </c>
      <c r="P639" s="488"/>
      <c r="Q639" s="358"/>
    </row>
    <row r="640" spans="1:17" ht="30">
      <c r="A640" s="173"/>
      <c r="B640" s="221"/>
      <c r="C640" s="170" t="s">
        <v>1079</v>
      </c>
      <c r="D640" s="490"/>
      <c r="E640" s="488"/>
      <c r="F640" s="566">
        <f t="shared" si="133"/>
        <v>0</v>
      </c>
      <c r="G640" s="484">
        <f t="shared" si="143"/>
        <v>0</v>
      </c>
      <c r="H640" s="488"/>
      <c r="I640" s="488"/>
      <c r="J640" s="488"/>
      <c r="K640" s="488"/>
      <c r="L640" s="490"/>
      <c r="M640" s="488">
        <f>8500*3+15000</f>
        <v>40500</v>
      </c>
      <c r="N640" s="488">
        <v>15000</v>
      </c>
      <c r="O640" s="470">
        <f t="shared" si="140"/>
        <v>15000</v>
      </c>
      <c r="P640" s="488"/>
      <c r="Q640" s="358" t="s">
        <v>1080</v>
      </c>
    </row>
    <row r="641" spans="1:18" ht="16.5">
      <c r="A641" s="173"/>
      <c r="B641" s="221"/>
      <c r="C641" s="170" t="s">
        <v>1081</v>
      </c>
      <c r="D641" s="490"/>
      <c r="E641" s="488"/>
      <c r="F641" s="566">
        <f t="shared" si="133"/>
        <v>0</v>
      </c>
      <c r="G641" s="484">
        <f t="shared" si="143"/>
        <v>0</v>
      </c>
      <c r="H641" s="488"/>
      <c r="I641" s="488"/>
      <c r="J641" s="488"/>
      <c r="K641" s="488"/>
      <c r="L641" s="490"/>
      <c r="M641" s="488">
        <v>30000</v>
      </c>
      <c r="N641" s="488"/>
      <c r="O641" s="470">
        <f t="shared" si="140"/>
        <v>0</v>
      </c>
      <c r="P641" s="488"/>
      <c r="Q641" s="1182" t="s">
        <v>1084</v>
      </c>
    </row>
    <row r="642" spans="1:18" ht="16.5">
      <c r="A642" s="173"/>
      <c r="B642" s="221"/>
      <c r="C642" s="170" t="s">
        <v>1082</v>
      </c>
      <c r="D642" s="490"/>
      <c r="E642" s="488"/>
      <c r="F642" s="566">
        <f t="shared" si="133"/>
        <v>0</v>
      </c>
      <c r="G642" s="484"/>
      <c r="H642" s="488"/>
      <c r="I642" s="488"/>
      <c r="J642" s="488"/>
      <c r="K642" s="488"/>
      <c r="L642" s="490"/>
      <c r="M642" s="488">
        <f>12500*2</f>
        <v>25000</v>
      </c>
      <c r="N642" s="488"/>
      <c r="O642" s="470">
        <f t="shared" si="140"/>
        <v>0</v>
      </c>
      <c r="P642" s="488"/>
      <c r="Q642" s="1194"/>
    </row>
    <row r="643" spans="1:18" ht="16.5">
      <c r="A643" s="171"/>
      <c r="B643" s="221"/>
      <c r="C643" s="170" t="s">
        <v>1083</v>
      </c>
      <c r="D643" s="490"/>
      <c r="E643" s="491"/>
      <c r="F643" s="566">
        <f t="shared" si="133"/>
        <v>0</v>
      </c>
      <c r="G643" s="484">
        <f t="shared" si="143"/>
        <v>0</v>
      </c>
      <c r="H643" s="491"/>
      <c r="I643" s="491"/>
      <c r="J643" s="491"/>
      <c r="K643" s="491"/>
      <c r="L643" s="492"/>
      <c r="M643" s="488">
        <v>25000</v>
      </c>
      <c r="N643" s="491"/>
      <c r="O643" s="470">
        <f t="shared" si="140"/>
        <v>0</v>
      </c>
      <c r="P643" s="491"/>
      <c r="Q643" s="1183"/>
    </row>
    <row r="644" spans="1:18" ht="16.5">
      <c r="A644" s="478">
        <v>2</v>
      </c>
      <c r="B644" s="479"/>
      <c r="C644" s="480" t="s">
        <v>1085</v>
      </c>
      <c r="D644" s="499"/>
      <c r="E644" s="482">
        <f>E646+E649+E650</f>
        <v>645994.92350000003</v>
      </c>
      <c r="F644" s="472">
        <f>F646+F649+F650</f>
        <v>529134.92350000003</v>
      </c>
      <c r="G644" s="472">
        <f>H644+I644</f>
        <v>518894.92349999998</v>
      </c>
      <c r="H644" s="472">
        <f>H646+H649+H650</f>
        <v>498894.92349999998</v>
      </c>
      <c r="I644" s="472">
        <f>I646+I649+I650</f>
        <v>20000</v>
      </c>
      <c r="J644" s="472">
        <f>J646+J649+J650</f>
        <v>10240</v>
      </c>
      <c r="K644" s="472">
        <f t="shared" ref="K644:N644" si="144">K646+K649+K650</f>
        <v>0</v>
      </c>
      <c r="L644" s="471">
        <f t="shared" si="144"/>
        <v>0</v>
      </c>
      <c r="M644" s="472">
        <f t="shared" si="144"/>
        <v>489235.53154999996</v>
      </c>
      <c r="N644" s="472">
        <f t="shared" si="144"/>
        <v>476435.53154999996</v>
      </c>
      <c r="O644" s="466">
        <f t="shared" si="140"/>
        <v>476435.53154999996</v>
      </c>
      <c r="P644" s="472"/>
      <c r="Q644" s="630"/>
      <c r="R644" s="119"/>
    </row>
    <row r="645" spans="1:18" ht="16.5">
      <c r="A645" s="173"/>
      <c r="B645" s="174"/>
      <c r="C645" s="169" t="s">
        <v>11</v>
      </c>
      <c r="D645" s="490"/>
      <c r="E645" s="472">
        <f>E646+E649+E650</f>
        <v>645994.92350000003</v>
      </c>
      <c r="F645" s="472">
        <f>F646+F649+F650</f>
        <v>529134.92350000003</v>
      </c>
      <c r="G645" s="472">
        <f t="shared" si="143"/>
        <v>518894.92349999998</v>
      </c>
      <c r="H645" s="472">
        <f>H646+H649+H650</f>
        <v>498894.92349999998</v>
      </c>
      <c r="I645" s="472">
        <f>I646+I649+I650</f>
        <v>20000</v>
      </c>
      <c r="J645" s="472">
        <f>J646+J649+J650</f>
        <v>10240</v>
      </c>
      <c r="K645" s="472"/>
      <c r="L645" s="471"/>
      <c r="M645" s="472">
        <f>M646+M649+M650</f>
        <v>489235.53154999996</v>
      </c>
      <c r="N645" s="472">
        <f>N646+N649+N650</f>
        <v>476435.53154999996</v>
      </c>
      <c r="O645" s="466">
        <f t="shared" si="140"/>
        <v>476435.53154999996</v>
      </c>
      <c r="P645" s="472"/>
      <c r="Q645" s="622"/>
    </row>
    <row r="646" spans="1:18" ht="16.5">
      <c r="A646" s="171"/>
      <c r="B646" s="174"/>
      <c r="C646" s="169" t="s">
        <v>377</v>
      </c>
      <c r="D646" s="490"/>
      <c r="E646" s="472">
        <f>(E647+E648)</f>
        <v>356451.42</v>
      </c>
      <c r="F646" s="472">
        <f>(F647+F648)</f>
        <v>366691.42</v>
      </c>
      <c r="G646" s="472">
        <f t="shared" si="143"/>
        <v>356451.42</v>
      </c>
      <c r="H646" s="472">
        <f>(H647+H648)</f>
        <v>356451.42</v>
      </c>
      <c r="I646" s="472">
        <f>(I647+I648)</f>
        <v>0</v>
      </c>
      <c r="J646" s="472">
        <f>(J647+J648)</f>
        <v>10240</v>
      </c>
      <c r="K646" s="472"/>
      <c r="L646" s="471"/>
      <c r="M646" s="472">
        <f>(M647+M648)</f>
        <v>316136.12339999998</v>
      </c>
      <c r="N646" s="472">
        <f>(N647+N648)</f>
        <v>316136.12339999998</v>
      </c>
      <c r="O646" s="466">
        <f t="shared" si="140"/>
        <v>316136.12339999998</v>
      </c>
      <c r="P646" s="472"/>
      <c r="Q646" s="622"/>
    </row>
    <row r="647" spans="1:18" ht="16.5">
      <c r="A647" s="171"/>
      <c r="B647" s="174"/>
      <c r="C647" s="170" t="s">
        <v>1086</v>
      </c>
      <c r="D647" s="489">
        <f>15.77+0.5+0.5+1.956+0.3</f>
        <v>19.026</v>
      </c>
      <c r="E647" s="488">
        <f>D647*1300*12</f>
        <v>296805.59999999998</v>
      </c>
      <c r="F647" s="488">
        <f>G647+J647</f>
        <v>307045.59999999998</v>
      </c>
      <c r="G647" s="484">
        <f>H647+I647</f>
        <v>296805.59999999998</v>
      </c>
      <c r="H647" s="488">
        <f>E647</f>
        <v>296805.59999999998</v>
      </c>
      <c r="I647" s="488"/>
      <c r="J647" s="488">
        <v>10240</v>
      </c>
      <c r="K647" s="488"/>
      <c r="L647" s="505">
        <f>12.18+0.2+0.2+0.4+2.716+0.3</f>
        <v>15.995999999999999</v>
      </c>
      <c r="M647" s="488">
        <f>L647*1390*12</f>
        <v>266813.27999999997</v>
      </c>
      <c r="N647" s="488">
        <f>M647</f>
        <v>266813.27999999997</v>
      </c>
      <c r="O647" s="470">
        <f t="shared" si="140"/>
        <v>266813.27999999997</v>
      </c>
      <c r="P647" s="488"/>
      <c r="Q647" s="622"/>
    </row>
    <row r="648" spans="1:18" ht="16.5">
      <c r="A648" s="171"/>
      <c r="B648" s="174"/>
      <c r="C648" s="170" t="s">
        <v>175</v>
      </c>
      <c r="D648" s="489">
        <f>(15.77+0.5)*23.5%</f>
        <v>3.8234499999999998</v>
      </c>
      <c r="E648" s="488">
        <f>D648*1300*12</f>
        <v>59645.819999999992</v>
      </c>
      <c r="F648" s="488">
        <f>G648+J648</f>
        <v>59645.819999999992</v>
      </c>
      <c r="G648" s="484">
        <f t="shared" si="143"/>
        <v>59645.819999999992</v>
      </c>
      <c r="H648" s="488">
        <f>E648</f>
        <v>59645.819999999992</v>
      </c>
      <c r="I648" s="488"/>
      <c r="J648" s="488"/>
      <c r="K648" s="488"/>
      <c r="L648" s="505">
        <f>(12.18+0.203+0.2)*23.5%</f>
        <v>2.9570049999999997</v>
      </c>
      <c r="M648" s="488">
        <f>L648*1390*12</f>
        <v>49322.843399999998</v>
      </c>
      <c r="N648" s="488">
        <f>M648</f>
        <v>49322.843399999998</v>
      </c>
      <c r="O648" s="470">
        <f t="shared" si="140"/>
        <v>49322.843399999998</v>
      </c>
      <c r="P648" s="488"/>
      <c r="Q648" s="622"/>
    </row>
    <row r="649" spans="1:18" ht="16.5">
      <c r="A649" s="171"/>
      <c r="B649" s="200"/>
      <c r="C649" s="169" t="s">
        <v>689</v>
      </c>
      <c r="D649" s="490"/>
      <c r="E649" s="491">
        <f>(D647+D648)*1210*12*20/80</f>
        <v>82943.503500000006</v>
      </c>
      <c r="F649" s="491">
        <f t="shared" ref="F649:F666" si="145">G649+J649</f>
        <v>82943.503500000006</v>
      </c>
      <c r="G649" s="472">
        <f>H649+I649</f>
        <v>82943.503500000006</v>
      </c>
      <c r="H649" s="491">
        <f>E649</f>
        <v>82943.503500000006</v>
      </c>
      <c r="I649" s="488"/>
      <c r="J649" s="491"/>
      <c r="K649" s="491"/>
      <c r="L649" s="492"/>
      <c r="M649" s="491">
        <f>(L647+L648)*1210*20/80*12</f>
        <v>68799.408149999988</v>
      </c>
      <c r="N649" s="491">
        <f>M649</f>
        <v>68799.408149999988</v>
      </c>
      <c r="O649" s="466">
        <f t="shared" si="140"/>
        <v>68799.408149999988</v>
      </c>
      <c r="P649" s="491"/>
      <c r="Q649" s="622"/>
    </row>
    <row r="650" spans="1:18" ht="16.5">
      <c r="A650" s="173"/>
      <c r="B650" s="172"/>
      <c r="C650" s="169" t="s">
        <v>380</v>
      </c>
      <c r="D650" s="471">
        <f t="shared" ref="D650:G650" si="146">SUM(D651:D656)</f>
        <v>0</v>
      </c>
      <c r="E650" s="472">
        <f t="shared" si="146"/>
        <v>206600</v>
      </c>
      <c r="F650" s="491">
        <f t="shared" si="145"/>
        <v>79500</v>
      </c>
      <c r="G650" s="472">
        <f t="shared" si="146"/>
        <v>79500</v>
      </c>
      <c r="H650" s="472">
        <f>SUM(H651:H656)</f>
        <v>59500</v>
      </c>
      <c r="I650" s="472">
        <f>SUM(I651:I656)</f>
        <v>20000</v>
      </c>
      <c r="J650" s="491"/>
      <c r="K650" s="491"/>
      <c r="L650" s="492"/>
      <c r="M650" s="472">
        <f>SUM(M651:M656)</f>
        <v>104300</v>
      </c>
      <c r="N650" s="472">
        <f>SUM(N651:N656)</f>
        <v>91500</v>
      </c>
      <c r="O650" s="466">
        <f t="shared" si="140"/>
        <v>91500</v>
      </c>
      <c r="P650" s="472"/>
      <c r="Q650" s="622"/>
    </row>
    <row r="651" spans="1:18" ht="16.5">
      <c r="A651" s="173"/>
      <c r="B651" s="172"/>
      <c r="C651" s="170" t="s">
        <v>1087</v>
      </c>
      <c r="D651" s="490"/>
      <c r="E651" s="488">
        <f>5000+4500+12000</f>
        <v>21500</v>
      </c>
      <c r="F651" s="488">
        <f t="shared" si="145"/>
        <v>21500</v>
      </c>
      <c r="G651" s="484">
        <f t="shared" ref="G651:G656" si="147">H651+I651</f>
        <v>21500</v>
      </c>
      <c r="H651" s="488">
        <v>21500</v>
      </c>
      <c r="I651" s="488"/>
      <c r="J651" s="488"/>
      <c r="K651" s="488"/>
      <c r="L651" s="490"/>
      <c r="M651" s="488">
        <v>16500</v>
      </c>
      <c r="N651" s="488">
        <v>16500</v>
      </c>
      <c r="O651" s="470">
        <f t="shared" si="140"/>
        <v>16500</v>
      </c>
      <c r="P651" s="488"/>
      <c r="Q651" s="622"/>
    </row>
    <row r="652" spans="1:18" ht="16.5">
      <c r="A652" s="171"/>
      <c r="B652" s="172"/>
      <c r="C652" s="170" t="s">
        <v>257</v>
      </c>
      <c r="D652" s="490"/>
      <c r="E652" s="488">
        <v>3000</v>
      </c>
      <c r="F652" s="488">
        <f t="shared" si="145"/>
        <v>0</v>
      </c>
      <c r="G652" s="484">
        <f t="shared" si="147"/>
        <v>0</v>
      </c>
      <c r="H652" s="488"/>
      <c r="I652" s="488"/>
      <c r="J652" s="488"/>
      <c r="K652" s="488"/>
      <c r="L652" s="490"/>
      <c r="M652" s="488">
        <v>3000</v>
      </c>
      <c r="N652" s="488">
        <v>3000</v>
      </c>
      <c r="O652" s="470">
        <f t="shared" si="140"/>
        <v>3000</v>
      </c>
      <c r="P652" s="488"/>
      <c r="Q652" s="1184"/>
    </row>
    <row r="653" spans="1:18" ht="30">
      <c r="A653" s="171"/>
      <c r="B653" s="172"/>
      <c r="C653" s="170" t="s">
        <v>1088</v>
      </c>
      <c r="D653" s="490"/>
      <c r="E653" s="488">
        <v>7500</v>
      </c>
      <c r="F653" s="488">
        <f t="shared" si="145"/>
        <v>0</v>
      </c>
      <c r="G653" s="484">
        <f t="shared" si="147"/>
        <v>0</v>
      </c>
      <c r="H653" s="488"/>
      <c r="I653" s="488"/>
      <c r="J653" s="488"/>
      <c r="K653" s="488"/>
      <c r="L653" s="490"/>
      <c r="M653" s="488">
        <f>4*300*5</f>
        <v>6000</v>
      </c>
      <c r="N653" s="488">
        <v>6000</v>
      </c>
      <c r="O653" s="470">
        <f t="shared" si="140"/>
        <v>6000</v>
      </c>
      <c r="P653" s="488"/>
      <c r="Q653" s="1184"/>
    </row>
    <row r="654" spans="1:18" ht="16.5">
      <c r="A654" s="171"/>
      <c r="B654" s="172"/>
      <c r="C654" s="170" t="s">
        <v>1089</v>
      </c>
      <c r="D654" s="490"/>
      <c r="E654" s="488">
        <v>10000</v>
      </c>
      <c r="F654" s="488">
        <f t="shared" si="145"/>
        <v>0</v>
      </c>
      <c r="G654" s="484">
        <f t="shared" si="147"/>
        <v>0</v>
      </c>
      <c r="H654" s="488"/>
      <c r="I654" s="488"/>
      <c r="J654" s="488"/>
      <c r="K654" s="488"/>
      <c r="L654" s="490"/>
      <c r="M654" s="488">
        <v>8000</v>
      </c>
      <c r="N654" s="488">
        <v>8000</v>
      </c>
      <c r="O654" s="470">
        <f t="shared" si="140"/>
        <v>8000</v>
      </c>
      <c r="P654" s="488"/>
      <c r="Q654" s="1184"/>
    </row>
    <row r="655" spans="1:18" ht="16.5">
      <c r="A655" s="171"/>
      <c r="B655" s="172"/>
      <c r="C655" s="170" t="s">
        <v>538</v>
      </c>
      <c r="D655" s="490"/>
      <c r="E655" s="488">
        <f>18000</f>
        <v>18000</v>
      </c>
      <c r="F655" s="488">
        <f t="shared" si="145"/>
        <v>18000</v>
      </c>
      <c r="G655" s="484">
        <f t="shared" si="147"/>
        <v>18000</v>
      </c>
      <c r="H655" s="488">
        <f>E655</f>
        <v>18000</v>
      </c>
      <c r="I655" s="488"/>
      <c r="J655" s="488"/>
      <c r="K655" s="488"/>
      <c r="L655" s="490"/>
      <c r="M655" s="488">
        <v>18000</v>
      </c>
      <c r="N655" s="488">
        <v>18000</v>
      </c>
      <c r="O655" s="470">
        <f t="shared" si="140"/>
        <v>18000</v>
      </c>
      <c r="P655" s="488"/>
      <c r="Q655" s="622"/>
    </row>
    <row r="656" spans="1:18" ht="146.25" customHeight="1">
      <c r="A656" s="173"/>
      <c r="B656" s="174"/>
      <c r="C656" s="170" t="s">
        <v>1179</v>
      </c>
      <c r="D656" s="490"/>
      <c r="E656" s="488">
        <v>146600</v>
      </c>
      <c r="F656" s="488">
        <f t="shared" si="145"/>
        <v>40000</v>
      </c>
      <c r="G656" s="484">
        <f t="shared" si="147"/>
        <v>40000</v>
      </c>
      <c r="H656" s="488">
        <v>20000</v>
      </c>
      <c r="I656" s="488">
        <v>20000</v>
      </c>
      <c r="J656" s="488"/>
      <c r="K656" s="488"/>
      <c r="L656" s="490"/>
      <c r="M656" s="488">
        <v>52800</v>
      </c>
      <c r="N656" s="488">
        <v>40000</v>
      </c>
      <c r="O656" s="470">
        <f t="shared" si="140"/>
        <v>40000</v>
      </c>
      <c r="P656" s="488"/>
      <c r="Q656" s="634"/>
    </row>
    <row r="657" spans="1:18" ht="16.5">
      <c r="A657" s="176" t="s">
        <v>25</v>
      </c>
      <c r="B657" s="342"/>
      <c r="C657" s="169" t="s">
        <v>290</v>
      </c>
      <c r="D657" s="471"/>
      <c r="E657" s="472" t="e">
        <f>E672+E687+E703+E717+E718+E719+E720+E721+E722+E724+E725+#REF!+#REF!+E723+E658+E667+E669+E670+E671</f>
        <v>#REF!</v>
      </c>
      <c r="F657" s="491">
        <f t="shared" si="145"/>
        <v>9091749.9515000004</v>
      </c>
      <c r="G657" s="472">
        <f t="shared" ref="G657:N657" si="148">G672+G687+G703+G717+G718+G719+G720+G721+G722+G724+G725+G723+G658+G667+G669+G670+G671</f>
        <v>8751757.9515000004</v>
      </c>
      <c r="H657" s="472">
        <f t="shared" si="148"/>
        <v>8681757.9515000004</v>
      </c>
      <c r="I657" s="472">
        <f t="shared" si="148"/>
        <v>70000</v>
      </c>
      <c r="J657" s="472">
        <f t="shared" si="148"/>
        <v>339992</v>
      </c>
      <c r="K657" s="472">
        <f t="shared" si="148"/>
        <v>0</v>
      </c>
      <c r="L657" s="471">
        <f t="shared" si="148"/>
        <v>0</v>
      </c>
      <c r="M657" s="472">
        <f t="shared" si="148"/>
        <v>9182412.4845000003</v>
      </c>
      <c r="N657" s="472">
        <f t="shared" si="148"/>
        <v>9014612.4845000003</v>
      </c>
      <c r="O657" s="466">
        <f t="shared" si="140"/>
        <v>9014612.4845000003</v>
      </c>
      <c r="P657" s="472"/>
      <c r="Q657" s="622"/>
    </row>
    <row r="658" spans="1:18" ht="16.5">
      <c r="A658" s="478">
        <v>1</v>
      </c>
      <c r="B658" s="498"/>
      <c r="C658" s="480" t="s">
        <v>291</v>
      </c>
      <c r="D658" s="471">
        <f>SUM(D659:D665)</f>
        <v>0</v>
      </c>
      <c r="E658" s="472">
        <f>SUM(E659:E665)</f>
        <v>471700</v>
      </c>
      <c r="F658" s="491">
        <f t="shared" si="145"/>
        <v>366600</v>
      </c>
      <c r="G658" s="472">
        <f>H658+I658</f>
        <v>323200</v>
      </c>
      <c r="H658" s="472">
        <f>SUM(H659:H665)</f>
        <v>273200</v>
      </c>
      <c r="I658" s="472">
        <f>SUM(I659:I665)</f>
        <v>50000</v>
      </c>
      <c r="J658" s="472">
        <f t="shared" ref="J658:L658" si="149">SUM(J659:J665)</f>
        <v>43400</v>
      </c>
      <c r="K658" s="472">
        <f t="shared" si="149"/>
        <v>0</v>
      </c>
      <c r="L658" s="471">
        <f t="shared" si="149"/>
        <v>0</v>
      </c>
      <c r="M658" s="472">
        <f>SUM(M659:M666)</f>
        <v>590800</v>
      </c>
      <c r="N658" s="472">
        <f>SUM(N659:N666)</f>
        <v>428000</v>
      </c>
      <c r="O658" s="466">
        <f t="shared" si="140"/>
        <v>428000</v>
      </c>
      <c r="P658" s="472"/>
      <c r="Q658" s="622"/>
      <c r="R658" s="116">
        <f>G658+G681+G696+G711</f>
        <v>465300</v>
      </c>
    </row>
    <row r="659" spans="1:18" ht="143.25" customHeight="1">
      <c r="A659" s="173"/>
      <c r="B659" s="174"/>
      <c r="C659" s="170" t="s">
        <v>1090</v>
      </c>
      <c r="D659" s="490"/>
      <c r="E659" s="488">
        <f>115000</f>
        <v>115000</v>
      </c>
      <c r="F659" s="488">
        <f t="shared" si="145"/>
        <v>100000</v>
      </c>
      <c r="G659" s="484">
        <f t="shared" si="143"/>
        <v>100000</v>
      </c>
      <c r="H659" s="488">
        <v>70000</v>
      </c>
      <c r="I659" s="488">
        <v>30000</v>
      </c>
      <c r="J659" s="488"/>
      <c r="K659" s="488"/>
      <c r="L659" s="490"/>
      <c r="M659" s="488">
        <v>85000</v>
      </c>
      <c r="N659" s="488">
        <v>65000</v>
      </c>
      <c r="O659" s="470">
        <f t="shared" si="140"/>
        <v>65000</v>
      </c>
      <c r="P659" s="488"/>
      <c r="Q659" s="623" t="s">
        <v>1091</v>
      </c>
      <c r="R659" s="116">
        <f>G669+G670+G717+G718+G719+G720+G721+G722+G723+G724+G725</f>
        <v>466000</v>
      </c>
    </row>
    <row r="660" spans="1:18" ht="216.75">
      <c r="A660" s="173"/>
      <c r="B660" s="172"/>
      <c r="C660" s="170" t="s">
        <v>1092</v>
      </c>
      <c r="D660" s="490"/>
      <c r="E660" s="488">
        <f>43200+20000+70000+30000+30000+10000</f>
        <v>203200</v>
      </c>
      <c r="F660" s="488">
        <f t="shared" si="145"/>
        <v>153200</v>
      </c>
      <c r="G660" s="484">
        <f t="shared" si="143"/>
        <v>153200</v>
      </c>
      <c r="H660" s="488">
        <v>153200</v>
      </c>
      <c r="I660" s="488"/>
      <c r="J660" s="488"/>
      <c r="K660" s="488"/>
      <c r="L660" s="490"/>
      <c r="M660" s="488">
        <v>262800</v>
      </c>
      <c r="N660" s="488">
        <v>248000</v>
      </c>
      <c r="O660" s="470">
        <f t="shared" si="140"/>
        <v>248000</v>
      </c>
      <c r="P660" s="488"/>
      <c r="Q660" s="623" t="s">
        <v>1093</v>
      </c>
    </row>
    <row r="661" spans="1:18" ht="111.75" customHeight="1">
      <c r="A661" s="173"/>
      <c r="B661" s="172"/>
      <c r="C661" s="170" t="s">
        <v>1094</v>
      </c>
      <c r="D661" s="490"/>
      <c r="E661" s="488">
        <f>20000+15000+10000+15000</f>
        <v>60000</v>
      </c>
      <c r="F661" s="488">
        <f t="shared" si="145"/>
        <v>15000</v>
      </c>
      <c r="G661" s="484">
        <f t="shared" si="143"/>
        <v>15000</v>
      </c>
      <c r="H661" s="488">
        <v>10000</v>
      </c>
      <c r="I661" s="488">
        <v>5000</v>
      </c>
      <c r="J661" s="488"/>
      <c r="K661" s="488"/>
      <c r="L661" s="490"/>
      <c r="M661" s="488">
        <v>40000</v>
      </c>
      <c r="N661" s="488">
        <v>15000</v>
      </c>
      <c r="O661" s="470">
        <f t="shared" si="140"/>
        <v>15000</v>
      </c>
      <c r="P661" s="488"/>
      <c r="Q661" s="623" t="s">
        <v>1095</v>
      </c>
    </row>
    <row r="662" spans="1:18" ht="89.25">
      <c r="A662" s="173"/>
      <c r="B662" s="172"/>
      <c r="C662" s="170" t="s">
        <v>1096</v>
      </c>
      <c r="D662" s="490"/>
      <c r="E662" s="488">
        <v>36000</v>
      </c>
      <c r="F662" s="488">
        <f t="shared" si="145"/>
        <v>20000</v>
      </c>
      <c r="G662" s="484">
        <f t="shared" si="143"/>
        <v>20000</v>
      </c>
      <c r="H662" s="488">
        <v>10000</v>
      </c>
      <c r="I662" s="488">
        <v>10000</v>
      </c>
      <c r="J662" s="488"/>
      <c r="K662" s="488"/>
      <c r="L662" s="490"/>
      <c r="M662" s="488">
        <v>40000</v>
      </c>
      <c r="N662" s="488">
        <v>20000</v>
      </c>
      <c r="O662" s="470">
        <f t="shared" si="140"/>
        <v>20000</v>
      </c>
      <c r="P662" s="488"/>
      <c r="Q662" s="357" t="s">
        <v>1097</v>
      </c>
    </row>
    <row r="663" spans="1:18" ht="60">
      <c r="A663" s="173"/>
      <c r="B663" s="172"/>
      <c r="C663" s="170" t="s">
        <v>1098</v>
      </c>
      <c r="D663" s="490"/>
      <c r="E663" s="488">
        <v>10000</v>
      </c>
      <c r="F663" s="488">
        <f t="shared" si="145"/>
        <v>10000</v>
      </c>
      <c r="G663" s="484">
        <f t="shared" si="143"/>
        <v>10000</v>
      </c>
      <c r="H663" s="488">
        <v>10000</v>
      </c>
      <c r="I663" s="488"/>
      <c r="J663" s="488"/>
      <c r="K663" s="488"/>
      <c r="L663" s="490"/>
      <c r="M663" s="488">
        <v>22000</v>
      </c>
      <c r="N663" s="488">
        <v>10000</v>
      </c>
      <c r="O663" s="470">
        <f t="shared" si="140"/>
        <v>10000</v>
      </c>
      <c r="P663" s="488"/>
      <c r="Q663" s="622"/>
    </row>
    <row r="664" spans="1:18" ht="120">
      <c r="A664" s="171"/>
      <c r="B664" s="172"/>
      <c r="C664" s="170" t="s">
        <v>1099</v>
      </c>
      <c r="D664" s="490"/>
      <c r="E664" s="488">
        <v>20000</v>
      </c>
      <c r="F664" s="488">
        <f t="shared" si="145"/>
        <v>10000</v>
      </c>
      <c r="G664" s="484">
        <f t="shared" si="143"/>
        <v>10000</v>
      </c>
      <c r="H664" s="488">
        <v>10000</v>
      </c>
      <c r="I664" s="488"/>
      <c r="J664" s="488"/>
      <c r="K664" s="488"/>
      <c r="L664" s="490"/>
      <c r="M664" s="488">
        <v>51000</v>
      </c>
      <c r="N664" s="488">
        <v>10000</v>
      </c>
      <c r="O664" s="470">
        <f t="shared" si="140"/>
        <v>10000</v>
      </c>
      <c r="P664" s="488"/>
      <c r="Q664" s="622"/>
    </row>
    <row r="665" spans="1:18" ht="129.75" customHeight="1">
      <c r="A665" s="173"/>
      <c r="B665" s="172"/>
      <c r="C665" s="170" t="s">
        <v>1100</v>
      </c>
      <c r="D665" s="490"/>
      <c r="E665" s="488">
        <f>15000+10000+2500</f>
        <v>27500</v>
      </c>
      <c r="F665" s="488">
        <f t="shared" si="145"/>
        <v>58400</v>
      </c>
      <c r="G665" s="484">
        <f t="shared" si="143"/>
        <v>15000</v>
      </c>
      <c r="H665" s="488">
        <v>10000</v>
      </c>
      <c r="I665" s="488">
        <v>5000</v>
      </c>
      <c r="J665" s="488">
        <v>43400</v>
      </c>
      <c r="K665" s="488"/>
      <c r="L665" s="490"/>
      <c r="M665" s="488">
        <v>60000</v>
      </c>
      <c r="N665" s="488">
        <v>50000</v>
      </c>
      <c r="O665" s="470">
        <f t="shared" si="140"/>
        <v>50000</v>
      </c>
      <c r="P665" s="488"/>
      <c r="Q665" s="357" t="s">
        <v>1101</v>
      </c>
    </row>
    <row r="666" spans="1:18" ht="75">
      <c r="A666" s="173"/>
      <c r="B666" s="172"/>
      <c r="C666" s="170" t="s">
        <v>1102</v>
      </c>
      <c r="D666" s="490"/>
      <c r="E666" s="488"/>
      <c r="F666" s="488">
        <f t="shared" si="145"/>
        <v>0</v>
      </c>
      <c r="G666" s="484"/>
      <c r="H666" s="488"/>
      <c r="I666" s="488"/>
      <c r="J666" s="488"/>
      <c r="K666" s="488"/>
      <c r="L666" s="490"/>
      <c r="M666" s="488">
        <v>30000</v>
      </c>
      <c r="N666" s="488">
        <v>10000</v>
      </c>
      <c r="O666" s="470">
        <f t="shared" si="140"/>
        <v>10000</v>
      </c>
      <c r="P666" s="488"/>
      <c r="Q666" s="622"/>
    </row>
    <row r="667" spans="1:18" ht="16.5">
      <c r="A667" s="478">
        <v>2</v>
      </c>
      <c r="B667" s="498"/>
      <c r="C667" s="480" t="s">
        <v>577</v>
      </c>
      <c r="D667" s="490"/>
      <c r="E667" s="491">
        <v>906942</v>
      </c>
      <c r="F667" s="491">
        <f>G667+J667</f>
        <v>1167919</v>
      </c>
      <c r="G667" s="472">
        <f t="shared" si="143"/>
        <v>906942</v>
      </c>
      <c r="H667" s="491">
        <v>906942</v>
      </c>
      <c r="I667" s="491"/>
      <c r="J667" s="491">
        <v>260977</v>
      </c>
      <c r="K667" s="491"/>
      <c r="L667" s="492"/>
      <c r="M667" s="491">
        <v>906942</v>
      </c>
      <c r="N667" s="491">
        <v>906942</v>
      </c>
      <c r="O667" s="466">
        <f t="shared" si="140"/>
        <v>906942</v>
      </c>
      <c r="P667" s="491"/>
      <c r="Q667" s="622"/>
    </row>
    <row r="668" spans="1:18" ht="16.5">
      <c r="A668" s="171"/>
      <c r="B668" s="172"/>
      <c r="C668" s="170" t="s">
        <v>282</v>
      </c>
      <c r="D668" s="490"/>
      <c r="E668" s="488"/>
      <c r="F668" s="488"/>
      <c r="G668" s="472"/>
      <c r="H668" s="488"/>
      <c r="I668" s="488"/>
      <c r="J668" s="488"/>
      <c r="K668" s="488"/>
      <c r="L668" s="490"/>
      <c r="M668" s="488"/>
      <c r="N668" s="488"/>
      <c r="O668" s="470">
        <f t="shared" si="140"/>
        <v>0</v>
      </c>
      <c r="P668" s="488"/>
      <c r="Q668" s="622"/>
    </row>
    <row r="669" spans="1:18" ht="16.5">
      <c r="A669" s="171">
        <v>3</v>
      </c>
      <c r="B669" s="172"/>
      <c r="C669" s="169" t="s">
        <v>146</v>
      </c>
      <c r="D669" s="490"/>
      <c r="E669" s="491">
        <v>53000</v>
      </c>
      <c r="F669" s="491">
        <f>G669+J669</f>
        <v>53000</v>
      </c>
      <c r="G669" s="472">
        <f t="shared" si="143"/>
        <v>53000</v>
      </c>
      <c r="H669" s="491">
        <v>53000</v>
      </c>
      <c r="I669" s="491"/>
      <c r="J669" s="491"/>
      <c r="K669" s="491"/>
      <c r="L669" s="492"/>
      <c r="M669" s="491">
        <v>53000</v>
      </c>
      <c r="N669" s="491">
        <v>53000</v>
      </c>
      <c r="O669" s="466">
        <f t="shared" si="140"/>
        <v>53000</v>
      </c>
      <c r="P669" s="491"/>
      <c r="Q669" s="622"/>
    </row>
    <row r="670" spans="1:18" ht="16.5">
      <c r="A670" s="171">
        <v>4</v>
      </c>
      <c r="B670" s="172"/>
      <c r="C670" s="169" t="s">
        <v>356</v>
      </c>
      <c r="D670" s="490"/>
      <c r="E670" s="491">
        <v>71000</v>
      </c>
      <c r="F670" s="491">
        <f>G670+J670</f>
        <v>71000</v>
      </c>
      <c r="G670" s="472">
        <f t="shared" si="143"/>
        <v>71000</v>
      </c>
      <c r="H670" s="491">
        <v>71000</v>
      </c>
      <c r="I670" s="491"/>
      <c r="J670" s="491"/>
      <c r="K670" s="491"/>
      <c r="L670" s="492"/>
      <c r="M670" s="491">
        <v>71000</v>
      </c>
      <c r="N670" s="491">
        <v>71000</v>
      </c>
      <c r="O670" s="466">
        <f t="shared" si="140"/>
        <v>71000</v>
      </c>
      <c r="P670" s="491"/>
      <c r="Q670" s="622"/>
    </row>
    <row r="671" spans="1:18" ht="16.5">
      <c r="A671" s="171">
        <v>5</v>
      </c>
      <c r="B671" s="172"/>
      <c r="C671" s="169" t="s">
        <v>537</v>
      </c>
      <c r="D671" s="490"/>
      <c r="E671" s="491">
        <v>6341000</v>
      </c>
      <c r="F671" s="491">
        <f>G671+J671</f>
        <v>6341000</v>
      </c>
      <c r="G671" s="472">
        <f>H671+I671</f>
        <v>6341000</v>
      </c>
      <c r="H671" s="491">
        <v>6341000</v>
      </c>
      <c r="I671" s="491"/>
      <c r="J671" s="491"/>
      <c r="K671" s="491"/>
      <c r="L671" s="492"/>
      <c r="M671" s="491">
        <f>462375*12+838*0.045*12*1390+300000</f>
        <v>6477502.7999999998</v>
      </c>
      <c r="N671" s="491">
        <f>M671</f>
        <v>6477502.7999999998</v>
      </c>
      <c r="O671" s="466">
        <f t="shared" si="140"/>
        <v>6477502.7999999998</v>
      </c>
      <c r="P671" s="491"/>
      <c r="Q671" s="622"/>
    </row>
    <row r="672" spans="1:18" ht="16.5">
      <c r="A672" s="478">
        <v>6</v>
      </c>
      <c r="B672" s="555"/>
      <c r="C672" s="480" t="s">
        <v>221</v>
      </c>
      <c r="D672" s="471"/>
      <c r="E672" s="472">
        <f t="shared" ref="E672" si="150">(E673+E680+E681)</f>
        <v>313734.59999999998</v>
      </c>
      <c r="F672" s="472">
        <f>(F673+F680+F681)</f>
        <v>326479.59999999998</v>
      </c>
      <c r="G672" s="472">
        <f t="shared" si="143"/>
        <v>313734.59999999998</v>
      </c>
      <c r="H672" s="472">
        <f>(H673+H680+H681)</f>
        <v>313734.59999999998</v>
      </c>
      <c r="I672" s="472">
        <f t="shared" ref="I672" si="151">(I673+I680+I681)</f>
        <v>0</v>
      </c>
      <c r="J672" s="472">
        <f>(J673+J680+J681)</f>
        <v>12745</v>
      </c>
      <c r="K672" s="472"/>
      <c r="L672" s="471"/>
      <c r="M672" s="472">
        <f>(M673+M680+M681)</f>
        <v>344639.83799999999</v>
      </c>
      <c r="N672" s="472">
        <f>(N673+N680+N681)</f>
        <v>339639.83799999999</v>
      </c>
      <c r="O672" s="466">
        <f t="shared" si="140"/>
        <v>339639.83799999999</v>
      </c>
      <c r="P672" s="472"/>
      <c r="Q672" s="622"/>
    </row>
    <row r="673" spans="1:18" ht="16.5">
      <c r="A673" s="173"/>
      <c r="B673" s="221"/>
      <c r="C673" s="169" t="s">
        <v>377</v>
      </c>
      <c r="D673" s="490"/>
      <c r="E673" s="491">
        <f>SUM(E675:E679)</f>
        <v>209707.68</v>
      </c>
      <c r="F673" s="491">
        <f>SUM(F675:F679)</f>
        <v>222452.68</v>
      </c>
      <c r="G673" s="472">
        <f t="shared" si="143"/>
        <v>209707.68</v>
      </c>
      <c r="H673" s="491">
        <f>SUM(H675:H679)</f>
        <v>209707.68</v>
      </c>
      <c r="I673" s="491">
        <f t="shared" ref="I673:N673" si="152">SUM(I675:I679)</f>
        <v>0</v>
      </c>
      <c r="J673" s="491">
        <f t="shared" si="152"/>
        <v>12745</v>
      </c>
      <c r="K673" s="491">
        <f t="shared" si="152"/>
        <v>0</v>
      </c>
      <c r="L673" s="497"/>
      <c r="M673" s="491">
        <f t="shared" si="152"/>
        <v>228345.864</v>
      </c>
      <c r="N673" s="491">
        <f t="shared" si="152"/>
        <v>228345.864</v>
      </c>
      <c r="O673" s="466">
        <f t="shared" si="140"/>
        <v>228345.864</v>
      </c>
      <c r="P673" s="491"/>
      <c r="Q673" s="622"/>
      <c r="R673" s="116">
        <f>E673+E690+E691+E705</f>
        <v>427453.26</v>
      </c>
    </row>
    <row r="674" spans="1:18" ht="16.5">
      <c r="A674" s="173"/>
      <c r="B674" s="221"/>
      <c r="C674" s="169" t="s">
        <v>621</v>
      </c>
      <c r="D674" s="490"/>
      <c r="E674" s="488"/>
      <c r="F674" s="488"/>
      <c r="G674" s="472">
        <f t="shared" si="143"/>
        <v>0</v>
      </c>
      <c r="H674" s="488"/>
      <c r="I674" s="488"/>
      <c r="J674" s="488"/>
      <c r="K674" s="488"/>
      <c r="L674" s="490"/>
      <c r="M674" s="488"/>
      <c r="N674" s="488"/>
      <c r="O674" s="470">
        <f t="shared" si="140"/>
        <v>0</v>
      </c>
      <c r="P674" s="488"/>
      <c r="Q674" s="622"/>
      <c r="R674" s="116">
        <f>G680+G695+G710</f>
        <v>98420.251499999998</v>
      </c>
    </row>
    <row r="675" spans="1:18" ht="16.5">
      <c r="A675" s="171"/>
      <c r="B675" s="221"/>
      <c r="C675" s="170" t="s">
        <v>622</v>
      </c>
      <c r="D675" s="489">
        <f>3.26+0.1+0.2</f>
        <v>3.56</v>
      </c>
      <c r="E675" s="488">
        <f>D675*1300*12</f>
        <v>55536</v>
      </c>
      <c r="F675" s="488">
        <f>G675+J675</f>
        <v>68281</v>
      </c>
      <c r="G675" s="484">
        <f t="shared" si="143"/>
        <v>55536</v>
      </c>
      <c r="H675" s="488">
        <f>E675</f>
        <v>55536</v>
      </c>
      <c r="I675" s="488"/>
      <c r="J675" s="488">
        <v>12745</v>
      </c>
      <c r="K675" s="488"/>
      <c r="L675" s="489">
        <f>3.46+0.1+0.2</f>
        <v>3.7600000000000002</v>
      </c>
      <c r="M675" s="488">
        <f>L675*1390*12</f>
        <v>62716.800000000003</v>
      </c>
      <c r="N675" s="488">
        <f>M675</f>
        <v>62716.800000000003</v>
      </c>
      <c r="O675" s="470">
        <f t="shared" si="140"/>
        <v>62716.800000000003</v>
      </c>
      <c r="P675" s="488"/>
      <c r="Q675" s="622"/>
      <c r="R675" s="116">
        <f>G673+G690+G691+G705</f>
        <v>427453.26</v>
      </c>
    </row>
    <row r="676" spans="1:18" ht="16.5">
      <c r="A676" s="171"/>
      <c r="B676" s="221"/>
      <c r="C676" s="170" t="s">
        <v>175</v>
      </c>
      <c r="D676" s="489">
        <f>(3.26)*23.5%</f>
        <v>0.76609999999999989</v>
      </c>
      <c r="E676" s="488">
        <f>D676*1300*12</f>
        <v>11951.159999999998</v>
      </c>
      <c r="F676" s="488">
        <f>G676+J676</f>
        <v>11951.159999999998</v>
      </c>
      <c r="G676" s="484">
        <f t="shared" si="143"/>
        <v>11951.159999999998</v>
      </c>
      <c r="H676" s="488">
        <f>E676</f>
        <v>11951.159999999998</v>
      </c>
      <c r="I676" s="488"/>
      <c r="J676" s="488"/>
      <c r="K676" s="488"/>
      <c r="L676" s="489">
        <f>3.46*23.5%</f>
        <v>0.81309999999999993</v>
      </c>
      <c r="M676" s="488">
        <f>L676*1390*12</f>
        <v>13562.507999999998</v>
      </c>
      <c r="N676" s="488">
        <f>M676</f>
        <v>13562.507999999998</v>
      </c>
      <c r="O676" s="470">
        <f t="shared" si="140"/>
        <v>13562.507999999998</v>
      </c>
      <c r="P676" s="488"/>
      <c r="Q676" s="622"/>
      <c r="R676" s="116">
        <f>G693+G694</f>
        <v>46642.44</v>
      </c>
    </row>
    <row r="677" spans="1:18" ht="16.5">
      <c r="A677" s="171"/>
      <c r="B677" s="221"/>
      <c r="C677" s="169" t="s">
        <v>623</v>
      </c>
      <c r="D677" s="490"/>
      <c r="E677" s="488"/>
      <c r="F677" s="488"/>
      <c r="G677" s="484">
        <f t="shared" si="143"/>
        <v>0</v>
      </c>
      <c r="H677" s="488"/>
      <c r="I677" s="488"/>
      <c r="J677" s="488"/>
      <c r="K677" s="488"/>
      <c r="L677" s="490"/>
      <c r="M677" s="488"/>
      <c r="N677" s="488"/>
      <c r="O677" s="470">
        <f t="shared" si="140"/>
        <v>0</v>
      </c>
      <c r="P677" s="488"/>
      <c r="Q677" s="622"/>
    </row>
    <row r="678" spans="1:18" ht="16.5">
      <c r="A678" s="171"/>
      <c r="B678" s="221"/>
      <c r="C678" s="170" t="s">
        <v>624</v>
      </c>
      <c r="D678" s="489">
        <f>6.72+0.5+0.2</f>
        <v>7.42</v>
      </c>
      <c r="E678" s="488">
        <f>D678*1300*12</f>
        <v>115752</v>
      </c>
      <c r="F678" s="488">
        <f>G678+J678</f>
        <v>115752</v>
      </c>
      <c r="G678" s="484">
        <f t="shared" si="143"/>
        <v>115752</v>
      </c>
      <c r="H678" s="488">
        <f>E678</f>
        <v>115752</v>
      </c>
      <c r="I678" s="488"/>
      <c r="J678" s="488"/>
      <c r="K678" s="488"/>
      <c r="L678" s="489">
        <f>(6.72+0.5+0.2)</f>
        <v>7.42</v>
      </c>
      <c r="M678" s="488">
        <f>L678*1390*12</f>
        <v>123765.59999999999</v>
      </c>
      <c r="N678" s="488">
        <f>M678</f>
        <v>123765.59999999999</v>
      </c>
      <c r="O678" s="470">
        <f t="shared" si="140"/>
        <v>123765.59999999999</v>
      </c>
      <c r="P678" s="488"/>
      <c r="Q678" s="622"/>
    </row>
    <row r="679" spans="1:18" ht="16.5">
      <c r="A679" s="171"/>
      <c r="B679" s="221"/>
      <c r="C679" s="170" t="s">
        <v>175</v>
      </c>
      <c r="D679" s="489">
        <f>(6.72+0.5)*23.5%</f>
        <v>1.6966999999999999</v>
      </c>
      <c r="E679" s="488">
        <f>D679*1300*12</f>
        <v>26468.52</v>
      </c>
      <c r="F679" s="488">
        <f>G679+J679</f>
        <v>26468.52</v>
      </c>
      <c r="G679" s="484">
        <f t="shared" si="143"/>
        <v>26468.52</v>
      </c>
      <c r="H679" s="488">
        <f>E679</f>
        <v>26468.52</v>
      </c>
      <c r="I679" s="488"/>
      <c r="J679" s="488"/>
      <c r="K679" s="488"/>
      <c r="L679" s="489">
        <f>(6.72+0.5)*23.5%</f>
        <v>1.6966999999999999</v>
      </c>
      <c r="M679" s="488">
        <f>L679*1390*12</f>
        <v>28300.955999999998</v>
      </c>
      <c r="N679" s="488">
        <f>M679</f>
        <v>28300.955999999998</v>
      </c>
      <c r="O679" s="470">
        <f t="shared" si="140"/>
        <v>28300.955999999998</v>
      </c>
      <c r="P679" s="488"/>
      <c r="Q679" s="622"/>
    </row>
    <row r="680" spans="1:18" ht="16.5">
      <c r="A680" s="171"/>
      <c r="B680" s="201"/>
      <c r="C680" s="169" t="s">
        <v>5</v>
      </c>
      <c r="D680" s="490"/>
      <c r="E680" s="491">
        <f>(D675+D676+D678+D679)*1300*12*20/80</f>
        <v>52426.92</v>
      </c>
      <c r="F680" s="491">
        <f t="shared" ref="F680:F686" si="153">G680+J680</f>
        <v>52426.92</v>
      </c>
      <c r="G680" s="472">
        <f t="shared" si="143"/>
        <v>52426.92</v>
      </c>
      <c r="H680" s="491">
        <f>E680</f>
        <v>52426.92</v>
      </c>
      <c r="I680" s="491"/>
      <c r="J680" s="491"/>
      <c r="K680" s="491"/>
      <c r="L680" s="492"/>
      <c r="M680" s="491">
        <f>(L675+L676+L678+L679)*1210*20/80*12</f>
        <v>49693.974000000002</v>
      </c>
      <c r="N680" s="491">
        <f>M680</f>
        <v>49693.974000000002</v>
      </c>
      <c r="O680" s="466">
        <f t="shared" si="140"/>
        <v>49693.974000000002</v>
      </c>
      <c r="P680" s="491"/>
      <c r="Q680" s="622"/>
    </row>
    <row r="681" spans="1:18" ht="16.5">
      <c r="A681" s="171"/>
      <c r="B681" s="201"/>
      <c r="C681" s="169" t="s">
        <v>380</v>
      </c>
      <c r="D681" s="490"/>
      <c r="E681" s="472">
        <f>SUM(E682:E685)</f>
        <v>51600</v>
      </c>
      <c r="F681" s="491">
        <f t="shared" si="153"/>
        <v>51600</v>
      </c>
      <c r="G681" s="472">
        <f>SUM(G682:G686)</f>
        <v>51600</v>
      </c>
      <c r="H681" s="472">
        <f>SUM(H682:H686)</f>
        <v>51600</v>
      </c>
      <c r="I681" s="472">
        <f t="shared" ref="I681:N681" si="154">SUM(I682:I686)</f>
        <v>0</v>
      </c>
      <c r="J681" s="472">
        <f t="shared" si="154"/>
        <v>0</v>
      </c>
      <c r="K681" s="472">
        <f t="shared" si="154"/>
        <v>0</v>
      </c>
      <c r="L681" s="471">
        <f t="shared" si="154"/>
        <v>0</v>
      </c>
      <c r="M681" s="472">
        <f t="shared" si="154"/>
        <v>66600</v>
      </c>
      <c r="N681" s="472">
        <f t="shared" si="154"/>
        <v>61600</v>
      </c>
      <c r="O681" s="466">
        <f t="shared" si="140"/>
        <v>61600</v>
      </c>
      <c r="P681" s="472"/>
      <c r="Q681" s="622"/>
    </row>
    <row r="682" spans="1:18" ht="16.5">
      <c r="A682" s="171"/>
      <c r="B682" s="201"/>
      <c r="C682" s="170" t="s">
        <v>578</v>
      </c>
      <c r="D682" s="490"/>
      <c r="E682" s="488">
        <v>13500</v>
      </c>
      <c r="F682" s="488">
        <f t="shared" si="153"/>
        <v>13500</v>
      </c>
      <c r="G682" s="484">
        <f t="shared" ref="G682:G741" si="155">H682+I682</f>
        <v>13500</v>
      </c>
      <c r="H682" s="488">
        <f>E682</f>
        <v>13500</v>
      </c>
      <c r="I682" s="488"/>
      <c r="J682" s="488"/>
      <c r="K682" s="488"/>
      <c r="L682" s="490"/>
      <c r="M682" s="488">
        <v>13500</v>
      </c>
      <c r="N682" s="488">
        <v>13500</v>
      </c>
      <c r="O682" s="470">
        <f t="shared" si="140"/>
        <v>13500</v>
      </c>
      <c r="P682" s="488"/>
      <c r="Q682" s="622"/>
    </row>
    <row r="683" spans="1:18" ht="30">
      <c r="A683" s="173"/>
      <c r="B683" s="172"/>
      <c r="C683" s="170" t="s">
        <v>437</v>
      </c>
      <c r="D683" s="490"/>
      <c r="E683" s="488">
        <v>4500</v>
      </c>
      <c r="F683" s="488">
        <f t="shared" si="153"/>
        <v>4500</v>
      </c>
      <c r="G683" s="484">
        <f t="shared" si="155"/>
        <v>4500</v>
      </c>
      <c r="H683" s="488">
        <f>E683</f>
        <v>4500</v>
      </c>
      <c r="I683" s="488"/>
      <c r="J683" s="488"/>
      <c r="K683" s="488"/>
      <c r="L683" s="490"/>
      <c r="M683" s="488">
        <v>4500</v>
      </c>
      <c r="N683" s="488">
        <v>4500</v>
      </c>
      <c r="O683" s="470">
        <f t="shared" si="140"/>
        <v>4500</v>
      </c>
      <c r="P683" s="488"/>
      <c r="Q683" s="622"/>
    </row>
    <row r="684" spans="1:18" ht="16.5">
      <c r="A684" s="173"/>
      <c r="B684" s="172"/>
      <c r="C684" s="170" t="s">
        <v>352</v>
      </c>
      <c r="D684" s="490"/>
      <c r="E684" s="488">
        <v>30000</v>
      </c>
      <c r="F684" s="488">
        <f t="shared" si="153"/>
        <v>30000</v>
      </c>
      <c r="G684" s="484">
        <f t="shared" si="155"/>
        <v>30000</v>
      </c>
      <c r="H684" s="488">
        <f>E684</f>
        <v>30000</v>
      </c>
      <c r="I684" s="488"/>
      <c r="J684" s="488"/>
      <c r="K684" s="488"/>
      <c r="L684" s="490"/>
      <c r="M684" s="488">
        <v>30000</v>
      </c>
      <c r="N684" s="488">
        <v>30000</v>
      </c>
      <c r="O684" s="470">
        <f t="shared" si="140"/>
        <v>30000</v>
      </c>
      <c r="P684" s="488"/>
      <c r="Q684" s="622"/>
    </row>
    <row r="685" spans="1:18" ht="16.5">
      <c r="A685" s="171"/>
      <c r="B685" s="174"/>
      <c r="C685" s="170" t="s">
        <v>234</v>
      </c>
      <c r="D685" s="490"/>
      <c r="E685" s="488">
        <v>3600</v>
      </c>
      <c r="F685" s="488">
        <f t="shared" si="153"/>
        <v>3600</v>
      </c>
      <c r="G685" s="484">
        <f t="shared" si="155"/>
        <v>3600</v>
      </c>
      <c r="H685" s="488">
        <f>E685</f>
        <v>3600</v>
      </c>
      <c r="I685" s="488"/>
      <c r="J685" s="488"/>
      <c r="K685" s="488"/>
      <c r="L685" s="490"/>
      <c r="M685" s="488">
        <v>3600</v>
      </c>
      <c r="N685" s="488">
        <v>3600</v>
      </c>
      <c r="O685" s="470">
        <f t="shared" si="140"/>
        <v>3600</v>
      </c>
      <c r="P685" s="488"/>
      <c r="Q685" s="622"/>
    </row>
    <row r="686" spans="1:18" ht="25.5">
      <c r="A686" s="171"/>
      <c r="B686" s="174"/>
      <c r="C686" s="170" t="s">
        <v>1103</v>
      </c>
      <c r="D686" s="490"/>
      <c r="E686" s="488"/>
      <c r="F686" s="488">
        <f t="shared" si="153"/>
        <v>0</v>
      </c>
      <c r="G686" s="484"/>
      <c r="H686" s="488"/>
      <c r="I686" s="488"/>
      <c r="J686" s="488"/>
      <c r="K686" s="488"/>
      <c r="L686" s="490"/>
      <c r="M686" s="488">
        <v>15000</v>
      </c>
      <c r="N686" s="488">
        <v>10000</v>
      </c>
      <c r="O686" s="470">
        <f t="shared" si="140"/>
        <v>10000</v>
      </c>
      <c r="P686" s="488"/>
      <c r="Q686" s="357" t="s">
        <v>1104</v>
      </c>
    </row>
    <row r="687" spans="1:18" ht="16.5">
      <c r="A687" s="478">
        <v>7</v>
      </c>
      <c r="B687" s="504"/>
      <c r="C687" s="480" t="s">
        <v>353</v>
      </c>
      <c r="D687" s="471">
        <f>(D688+D695+D696)</f>
        <v>0</v>
      </c>
      <c r="E687" s="472">
        <f>(E688+E695+E696)</f>
        <v>224378.3015</v>
      </c>
      <c r="F687" s="472">
        <f>G687+J687</f>
        <v>243268.3015</v>
      </c>
      <c r="G687" s="472">
        <f t="shared" si="155"/>
        <v>224378.3015</v>
      </c>
      <c r="H687" s="472">
        <f>(H688+H695+H696)</f>
        <v>214378.3015</v>
      </c>
      <c r="I687" s="472">
        <f>(I688+I695+I696)</f>
        <v>10000</v>
      </c>
      <c r="J687" s="472">
        <f>(J688+J695+J696)</f>
        <v>18890</v>
      </c>
      <c r="K687" s="472"/>
      <c r="L687" s="471"/>
      <c r="M687" s="472">
        <f>(M688+M695+M696)</f>
        <v>251935.70450000002</v>
      </c>
      <c r="N687" s="472">
        <f>(N688+N695+N696)</f>
        <v>251935.70450000002</v>
      </c>
      <c r="O687" s="466">
        <f t="shared" si="140"/>
        <v>251935.70450000002</v>
      </c>
      <c r="P687" s="472"/>
      <c r="Q687" s="622"/>
    </row>
    <row r="688" spans="1:18" ht="16.5">
      <c r="A688" s="171"/>
      <c r="B688" s="201"/>
      <c r="C688" s="169" t="s">
        <v>377</v>
      </c>
      <c r="D688" s="471"/>
      <c r="E688" s="472">
        <f>SUM(E690:E694)</f>
        <v>147545.58000000002</v>
      </c>
      <c r="F688" s="472">
        <f>G688+J688</f>
        <v>166435.58000000002</v>
      </c>
      <c r="G688" s="472">
        <f t="shared" si="155"/>
        <v>147545.58000000002</v>
      </c>
      <c r="H688" s="472">
        <f>SUM(H690:H694)</f>
        <v>147545.58000000002</v>
      </c>
      <c r="I688" s="472">
        <f t="shared" ref="I688:K688" si="156">SUM(I690:I694)</f>
        <v>0</v>
      </c>
      <c r="J688" s="472">
        <f t="shared" si="156"/>
        <v>18890</v>
      </c>
      <c r="K688" s="472">
        <f t="shared" si="156"/>
        <v>0</v>
      </c>
      <c r="L688" s="471"/>
      <c r="M688" s="472">
        <f>SUM(M690:M694)</f>
        <v>172003.32600000003</v>
      </c>
      <c r="N688" s="472">
        <f>SUM(N690:N694)</f>
        <v>172003.32600000003</v>
      </c>
      <c r="O688" s="466">
        <f t="shared" si="140"/>
        <v>172003.32600000003</v>
      </c>
      <c r="P688" s="472"/>
      <c r="Q688" s="622"/>
    </row>
    <row r="689" spans="1:17" ht="16.5">
      <c r="A689" s="171"/>
      <c r="B689" s="201"/>
      <c r="C689" s="169" t="s">
        <v>492</v>
      </c>
      <c r="D689" s="490"/>
      <c r="E689" s="488"/>
      <c r="F689" s="472">
        <f t="shared" ref="F689:F702" si="157">G689+J689</f>
        <v>0</v>
      </c>
      <c r="G689" s="472"/>
      <c r="H689" s="488"/>
      <c r="I689" s="488"/>
      <c r="J689" s="488"/>
      <c r="K689" s="488"/>
      <c r="L689" s="490"/>
      <c r="M689" s="488"/>
      <c r="N689" s="488"/>
      <c r="O689" s="470">
        <f t="shared" si="140"/>
        <v>0</v>
      </c>
      <c r="P689" s="488"/>
      <c r="Q689" s="622"/>
    </row>
    <row r="690" spans="1:17" ht="16.5">
      <c r="A690" s="171"/>
      <c r="B690" s="201"/>
      <c r="C690" s="170" t="s">
        <v>622</v>
      </c>
      <c r="D690" s="489">
        <f>3.99+0.3+0.1+1.07</f>
        <v>5.46</v>
      </c>
      <c r="E690" s="488">
        <f>D690*1300*12</f>
        <v>85176</v>
      </c>
      <c r="F690" s="484">
        <f t="shared" si="157"/>
        <v>104066</v>
      </c>
      <c r="G690" s="484">
        <f t="shared" si="155"/>
        <v>85176</v>
      </c>
      <c r="H690" s="488">
        <f>E690</f>
        <v>85176</v>
      </c>
      <c r="I690" s="488"/>
      <c r="J690" s="488">
        <v>18890</v>
      </c>
      <c r="K690" s="488"/>
      <c r="L690" s="505">
        <f>4.32+0.3+0.1+1.155</f>
        <v>5.875</v>
      </c>
      <c r="M690" s="488">
        <f>L690*1390*12</f>
        <v>97995</v>
      </c>
      <c r="N690" s="488">
        <f>M690</f>
        <v>97995</v>
      </c>
      <c r="O690" s="470">
        <f t="shared" si="140"/>
        <v>97995</v>
      </c>
      <c r="P690" s="488"/>
      <c r="Q690" s="622"/>
    </row>
    <row r="691" spans="1:17" ht="16.5">
      <c r="A691" s="171"/>
      <c r="B691" s="201"/>
      <c r="C691" s="170" t="s">
        <v>175</v>
      </c>
      <c r="D691" s="489">
        <f>(3.99+0.3)*23.5%</f>
        <v>1.0081499999999999</v>
      </c>
      <c r="E691" s="488">
        <f>D691*1300*12</f>
        <v>15727.139999999998</v>
      </c>
      <c r="F691" s="484">
        <f t="shared" si="157"/>
        <v>15727.139999999998</v>
      </c>
      <c r="G691" s="484">
        <f t="shared" si="155"/>
        <v>15727.139999999998</v>
      </c>
      <c r="H691" s="488">
        <f>E691</f>
        <v>15727.139999999998</v>
      </c>
      <c r="I691" s="488"/>
      <c r="J691" s="488"/>
      <c r="K691" s="488"/>
      <c r="L691" s="505">
        <f>(4.32+0.3)*22.5%</f>
        <v>1.0395000000000001</v>
      </c>
      <c r="M691" s="488">
        <f t="shared" ref="M691" si="158">L691*1390*12</f>
        <v>17338.86</v>
      </c>
      <c r="N691" s="488">
        <f>M691</f>
        <v>17338.86</v>
      </c>
      <c r="O691" s="470">
        <f t="shared" si="140"/>
        <v>17338.86</v>
      </c>
      <c r="P691" s="488"/>
      <c r="Q691" s="622"/>
    </row>
    <row r="692" spans="1:17" ht="16.5">
      <c r="A692" s="171"/>
      <c r="B692" s="201"/>
      <c r="C692" s="169" t="s">
        <v>480</v>
      </c>
      <c r="D692" s="489"/>
      <c r="E692" s="488"/>
      <c r="F692" s="472">
        <f t="shared" si="157"/>
        <v>0</v>
      </c>
      <c r="G692" s="472">
        <f t="shared" si="155"/>
        <v>0</v>
      </c>
      <c r="H692" s="488"/>
      <c r="I692" s="488"/>
      <c r="J692" s="488"/>
      <c r="K692" s="488"/>
      <c r="L692" s="490"/>
      <c r="M692" s="488"/>
      <c r="N692" s="488"/>
      <c r="O692" s="470">
        <f t="shared" ref="O692:O747" si="159">N692</f>
        <v>0</v>
      </c>
      <c r="P692" s="488"/>
      <c r="Q692" s="622"/>
    </row>
    <row r="693" spans="1:17" ht="16.5">
      <c r="A693" s="171"/>
      <c r="B693" s="201"/>
      <c r="C693" s="170" t="s">
        <v>622</v>
      </c>
      <c r="D693" s="489">
        <f>2.34+0.1</f>
        <v>2.44</v>
      </c>
      <c r="E693" s="488">
        <f>D693*1300*12</f>
        <v>38064</v>
      </c>
      <c r="F693" s="484">
        <f t="shared" si="157"/>
        <v>38064</v>
      </c>
      <c r="G693" s="484">
        <f t="shared" si="155"/>
        <v>38064</v>
      </c>
      <c r="H693" s="488">
        <f>E693</f>
        <v>38064</v>
      </c>
      <c r="I693" s="488"/>
      <c r="J693" s="488"/>
      <c r="K693" s="488"/>
      <c r="L693" s="489">
        <f>2.67+0.1</f>
        <v>2.77</v>
      </c>
      <c r="M693" s="488">
        <f>L693*1390*12</f>
        <v>46203.600000000006</v>
      </c>
      <c r="N693" s="488">
        <f>M693</f>
        <v>46203.600000000006</v>
      </c>
      <c r="O693" s="470">
        <f t="shared" si="159"/>
        <v>46203.600000000006</v>
      </c>
      <c r="P693" s="488"/>
      <c r="Q693" s="622"/>
    </row>
    <row r="694" spans="1:17" ht="16.5">
      <c r="A694" s="171"/>
      <c r="B694" s="201"/>
      <c r="C694" s="170" t="s">
        <v>175</v>
      </c>
      <c r="D694" s="489">
        <f>2.34*23.5%</f>
        <v>0.54989999999999994</v>
      </c>
      <c r="E694" s="488">
        <f>D694*1300*12</f>
        <v>8578.4399999999987</v>
      </c>
      <c r="F694" s="484">
        <f t="shared" si="157"/>
        <v>8578.4399999999987</v>
      </c>
      <c r="G694" s="484">
        <f t="shared" si="155"/>
        <v>8578.4399999999987</v>
      </c>
      <c r="H694" s="488">
        <f>E694</f>
        <v>8578.4399999999987</v>
      </c>
      <c r="I694" s="488"/>
      <c r="J694" s="488"/>
      <c r="K694" s="488"/>
      <c r="L694" s="489">
        <f>2.67*23.5%</f>
        <v>0.62744999999999995</v>
      </c>
      <c r="M694" s="488">
        <f>L694*1390*12</f>
        <v>10465.866</v>
      </c>
      <c r="N694" s="488">
        <f>M694</f>
        <v>10465.866</v>
      </c>
      <c r="O694" s="470">
        <f t="shared" si="159"/>
        <v>10465.866</v>
      </c>
      <c r="P694" s="488"/>
      <c r="Q694" s="622"/>
    </row>
    <row r="695" spans="1:17" ht="16.5">
      <c r="A695" s="171"/>
      <c r="B695" s="201"/>
      <c r="C695" s="169" t="s">
        <v>732</v>
      </c>
      <c r="D695" s="490"/>
      <c r="E695" s="491">
        <f>(D690+D691+D693+D694)*1210*20/80*12</f>
        <v>34332.721499999992</v>
      </c>
      <c r="F695" s="472">
        <f t="shared" si="157"/>
        <v>34332.721499999992</v>
      </c>
      <c r="G695" s="472">
        <f t="shared" si="155"/>
        <v>34332.721499999992</v>
      </c>
      <c r="H695" s="491">
        <f>E695</f>
        <v>34332.721499999992</v>
      </c>
      <c r="I695" s="491"/>
      <c r="J695" s="491"/>
      <c r="K695" s="491"/>
      <c r="L695" s="492"/>
      <c r="M695" s="491">
        <f>(L690+L691+L693+L694)*20/80*1210*12</f>
        <v>37432.378499999999</v>
      </c>
      <c r="N695" s="491">
        <f>M695</f>
        <v>37432.378499999999</v>
      </c>
      <c r="O695" s="466">
        <f t="shared" si="159"/>
        <v>37432.378499999999</v>
      </c>
      <c r="P695" s="491"/>
      <c r="Q695" s="622"/>
    </row>
    <row r="696" spans="1:17" ht="16.5">
      <c r="A696" s="171"/>
      <c r="B696" s="174"/>
      <c r="C696" s="169" t="s">
        <v>380</v>
      </c>
      <c r="D696" s="471">
        <f>SUM(D697:D702)</f>
        <v>0</v>
      </c>
      <c r="E696" s="472">
        <f>SUM(E697:E702)</f>
        <v>42500</v>
      </c>
      <c r="F696" s="472">
        <f>G696+J696</f>
        <v>42500</v>
      </c>
      <c r="G696" s="472">
        <f>H696+I696</f>
        <v>42500</v>
      </c>
      <c r="H696" s="472">
        <f t="shared" ref="H696:N696" si="160">SUM(H697:H702)</f>
        <v>32500</v>
      </c>
      <c r="I696" s="472">
        <f t="shared" si="160"/>
        <v>10000</v>
      </c>
      <c r="J696" s="472">
        <f t="shared" si="160"/>
        <v>0</v>
      </c>
      <c r="K696" s="472">
        <f t="shared" si="160"/>
        <v>0</v>
      </c>
      <c r="L696" s="471">
        <f t="shared" si="160"/>
        <v>0</v>
      </c>
      <c r="M696" s="472">
        <f t="shared" si="160"/>
        <v>42500</v>
      </c>
      <c r="N696" s="472">
        <f t="shared" si="160"/>
        <v>42500</v>
      </c>
      <c r="O696" s="466">
        <f t="shared" si="159"/>
        <v>42500</v>
      </c>
      <c r="P696" s="472"/>
      <c r="Q696" s="622"/>
    </row>
    <row r="697" spans="1:17" ht="16.5">
      <c r="A697" s="171"/>
      <c r="B697" s="174"/>
      <c r="C697" s="170" t="s">
        <v>724</v>
      </c>
      <c r="D697" s="490"/>
      <c r="E697" s="488">
        <v>9000</v>
      </c>
      <c r="F697" s="484">
        <f t="shared" si="157"/>
        <v>9000</v>
      </c>
      <c r="G697" s="484">
        <f t="shared" si="155"/>
        <v>9000</v>
      </c>
      <c r="H697" s="488">
        <f>E697</f>
        <v>9000</v>
      </c>
      <c r="I697" s="488"/>
      <c r="J697" s="488"/>
      <c r="K697" s="488"/>
      <c r="L697" s="490"/>
      <c r="M697" s="488">
        <v>9000</v>
      </c>
      <c r="N697" s="488">
        <v>9000</v>
      </c>
      <c r="O697" s="470">
        <f t="shared" si="159"/>
        <v>9000</v>
      </c>
      <c r="P697" s="488"/>
      <c r="Q697" s="622"/>
    </row>
    <row r="698" spans="1:17" ht="16.5">
      <c r="A698" s="173"/>
      <c r="B698" s="174"/>
      <c r="C698" s="170" t="s">
        <v>75</v>
      </c>
      <c r="D698" s="490"/>
      <c r="E698" s="488">
        <v>1500</v>
      </c>
      <c r="F698" s="484">
        <f t="shared" si="157"/>
        <v>1500</v>
      </c>
      <c r="G698" s="484">
        <f t="shared" si="155"/>
        <v>1500</v>
      </c>
      <c r="H698" s="488">
        <f>E698</f>
        <v>1500</v>
      </c>
      <c r="I698" s="488"/>
      <c r="J698" s="488"/>
      <c r="K698" s="488"/>
      <c r="L698" s="490"/>
      <c r="M698" s="488">
        <v>1500</v>
      </c>
      <c r="N698" s="488">
        <v>1500</v>
      </c>
      <c r="O698" s="470">
        <f t="shared" si="159"/>
        <v>1500</v>
      </c>
      <c r="P698" s="488"/>
      <c r="Q698" s="622"/>
    </row>
    <row r="699" spans="1:17" ht="30">
      <c r="A699" s="173"/>
      <c r="B699" s="174"/>
      <c r="C699" s="170" t="s">
        <v>634</v>
      </c>
      <c r="D699" s="490"/>
      <c r="E699" s="488">
        <v>3000</v>
      </c>
      <c r="F699" s="484">
        <f t="shared" si="157"/>
        <v>3000</v>
      </c>
      <c r="G699" s="484">
        <f t="shared" si="155"/>
        <v>3000</v>
      </c>
      <c r="H699" s="488">
        <f>E699</f>
        <v>3000</v>
      </c>
      <c r="I699" s="488"/>
      <c r="J699" s="488"/>
      <c r="K699" s="488"/>
      <c r="L699" s="490"/>
      <c r="M699" s="488">
        <v>3000</v>
      </c>
      <c r="N699" s="488">
        <v>3000</v>
      </c>
      <c r="O699" s="470">
        <f t="shared" si="159"/>
        <v>3000</v>
      </c>
      <c r="P699" s="488"/>
      <c r="Q699" s="622"/>
    </row>
    <row r="700" spans="1:17" ht="16.5">
      <c r="A700" s="171"/>
      <c r="B700" s="174"/>
      <c r="C700" s="170" t="s">
        <v>790</v>
      </c>
      <c r="D700" s="490"/>
      <c r="E700" s="488">
        <v>4000</v>
      </c>
      <c r="F700" s="484">
        <f t="shared" si="157"/>
        <v>4000</v>
      </c>
      <c r="G700" s="484">
        <f t="shared" si="155"/>
        <v>4000</v>
      </c>
      <c r="H700" s="488">
        <v>4000</v>
      </c>
      <c r="I700" s="488"/>
      <c r="J700" s="488"/>
      <c r="K700" s="488"/>
      <c r="L700" s="490"/>
      <c r="M700" s="488">
        <v>4000</v>
      </c>
      <c r="N700" s="488">
        <v>4000</v>
      </c>
      <c r="O700" s="470">
        <f t="shared" si="159"/>
        <v>4000</v>
      </c>
      <c r="P700" s="488"/>
      <c r="Q700" s="622"/>
    </row>
    <row r="701" spans="1:17" ht="16.5">
      <c r="A701" s="171"/>
      <c r="B701" s="172"/>
      <c r="C701" s="170" t="s">
        <v>763</v>
      </c>
      <c r="D701" s="490"/>
      <c r="E701" s="488">
        <v>20000</v>
      </c>
      <c r="F701" s="484">
        <f t="shared" si="157"/>
        <v>20000</v>
      </c>
      <c r="G701" s="484">
        <f t="shared" si="155"/>
        <v>20000</v>
      </c>
      <c r="H701" s="488">
        <v>10000</v>
      </c>
      <c r="I701" s="488">
        <v>10000</v>
      </c>
      <c r="J701" s="488"/>
      <c r="K701" s="488"/>
      <c r="L701" s="490"/>
      <c r="M701" s="488">
        <v>20000</v>
      </c>
      <c r="N701" s="488">
        <v>20000</v>
      </c>
      <c r="O701" s="470">
        <f t="shared" si="159"/>
        <v>20000</v>
      </c>
      <c r="P701" s="488"/>
      <c r="Q701" s="622"/>
    </row>
    <row r="702" spans="1:17" ht="16.5">
      <c r="A702" s="173"/>
      <c r="B702" s="172"/>
      <c r="C702" s="170" t="s">
        <v>269</v>
      </c>
      <c r="D702" s="490"/>
      <c r="E702" s="488">
        <v>5000</v>
      </c>
      <c r="F702" s="484">
        <f t="shared" si="157"/>
        <v>5000</v>
      </c>
      <c r="G702" s="484">
        <f t="shared" si="155"/>
        <v>5000</v>
      </c>
      <c r="H702" s="488">
        <v>5000</v>
      </c>
      <c r="I702" s="488"/>
      <c r="J702" s="488"/>
      <c r="K702" s="488"/>
      <c r="L702" s="490"/>
      <c r="M702" s="488">
        <v>5000</v>
      </c>
      <c r="N702" s="488">
        <v>5000</v>
      </c>
      <c r="O702" s="470">
        <f t="shared" si="159"/>
        <v>5000</v>
      </c>
      <c r="P702" s="488"/>
      <c r="Q702" s="622"/>
    </row>
    <row r="703" spans="1:17" ht="16.5">
      <c r="A703" s="478">
        <v>8</v>
      </c>
      <c r="B703" s="498"/>
      <c r="C703" s="480" t="s">
        <v>262</v>
      </c>
      <c r="D703" s="471">
        <f t="shared" ref="D703:F703" si="161">(D704+D711)</f>
        <v>0</v>
      </c>
      <c r="E703" s="472">
        <f t="shared" si="161"/>
        <v>176503.05</v>
      </c>
      <c r="F703" s="472">
        <f t="shared" si="161"/>
        <v>180483.05</v>
      </c>
      <c r="G703" s="472">
        <f t="shared" si="155"/>
        <v>176503.05</v>
      </c>
      <c r="H703" s="472">
        <f>(H704+H711)</f>
        <v>176503.05</v>
      </c>
      <c r="I703" s="472">
        <f>(I704+I711)</f>
        <v>0</v>
      </c>
      <c r="J703" s="472">
        <f>(J704+J711)</f>
        <v>3980</v>
      </c>
      <c r="K703" s="472">
        <f t="shared" ref="K703" si="162">(K704+K711)</f>
        <v>0</v>
      </c>
      <c r="L703" s="471"/>
      <c r="M703" s="472">
        <f>(M704+M711)</f>
        <v>184592.14199999999</v>
      </c>
      <c r="N703" s="472">
        <f>(N704+N711)</f>
        <v>184592.14199999999</v>
      </c>
      <c r="O703" s="466">
        <f t="shared" si="159"/>
        <v>184592.14199999999</v>
      </c>
      <c r="P703" s="472"/>
      <c r="Q703" s="622"/>
    </row>
    <row r="704" spans="1:17" ht="16.5">
      <c r="A704" s="173"/>
      <c r="B704" s="174">
        <v>5.82</v>
      </c>
      <c r="C704" s="169" t="s">
        <v>377</v>
      </c>
      <c r="D704" s="471">
        <f t="shared" ref="D704:F704" si="163">(D705+D710)</f>
        <v>0</v>
      </c>
      <c r="E704" s="472">
        <f t="shared" si="163"/>
        <v>128503.05</v>
      </c>
      <c r="F704" s="472">
        <f t="shared" si="163"/>
        <v>132483.04999999999</v>
      </c>
      <c r="G704" s="472">
        <f t="shared" si="155"/>
        <v>128503.05</v>
      </c>
      <c r="H704" s="472">
        <f>(H705+H710)</f>
        <v>128503.05</v>
      </c>
      <c r="I704" s="472">
        <f t="shared" ref="I704:K704" si="164">(I705+I710)</f>
        <v>0</v>
      </c>
      <c r="J704" s="472">
        <f t="shared" si="164"/>
        <v>3980</v>
      </c>
      <c r="K704" s="472">
        <f t="shared" si="164"/>
        <v>0</v>
      </c>
      <c r="L704" s="471"/>
      <c r="M704" s="472">
        <f>(M705+M710)</f>
        <v>136592.14199999999</v>
      </c>
      <c r="N704" s="472">
        <f>(N705+N710)</f>
        <v>136592.14199999999</v>
      </c>
      <c r="O704" s="466">
        <f t="shared" si="159"/>
        <v>136592.14199999999</v>
      </c>
      <c r="P704" s="472"/>
      <c r="Q704" s="622"/>
    </row>
    <row r="705" spans="1:17" ht="16.5">
      <c r="A705" s="171"/>
      <c r="B705" s="206">
        <f>(5.32+0.3)*22%</f>
        <v>1.2363999999999999</v>
      </c>
      <c r="C705" s="169" t="s">
        <v>351</v>
      </c>
      <c r="D705" s="471"/>
      <c r="E705" s="472">
        <f>SUM(E706:E709)</f>
        <v>116842.44</v>
      </c>
      <c r="F705" s="472">
        <f>SUM(F706:F709)</f>
        <v>120822.44</v>
      </c>
      <c r="G705" s="472">
        <f t="shared" si="155"/>
        <v>116842.44</v>
      </c>
      <c r="H705" s="472">
        <f>SUM(H706:H709)</f>
        <v>116842.44</v>
      </c>
      <c r="I705" s="472">
        <f t="shared" ref="I705:J705" si="165">SUM(I706:I709)</f>
        <v>0</v>
      </c>
      <c r="J705" s="472">
        <f t="shared" si="165"/>
        <v>3980</v>
      </c>
      <c r="K705" s="472"/>
      <c r="L705" s="471"/>
      <c r="M705" s="472">
        <f>SUM(M706:M709)</f>
        <v>124931.53199999999</v>
      </c>
      <c r="N705" s="472">
        <f t="shared" ref="N705" si="166">SUM(N706:N709)</f>
        <v>124931.53199999999</v>
      </c>
      <c r="O705" s="466">
        <f t="shared" si="159"/>
        <v>124931.53199999999</v>
      </c>
      <c r="P705" s="472"/>
      <c r="Q705" s="622"/>
    </row>
    <row r="706" spans="1:17" ht="16.5">
      <c r="A706" s="171"/>
      <c r="B706" s="206"/>
      <c r="C706" s="170" t="s">
        <v>625</v>
      </c>
      <c r="D706" s="505">
        <v>2.5</v>
      </c>
      <c r="E706" s="488">
        <f>D706*1300*12</f>
        <v>39000</v>
      </c>
      <c r="F706" s="488">
        <f>G706+J706</f>
        <v>39000</v>
      </c>
      <c r="G706" s="484">
        <f t="shared" si="155"/>
        <v>39000</v>
      </c>
      <c r="H706" s="488">
        <f>E706</f>
        <v>39000</v>
      </c>
      <c r="I706" s="488"/>
      <c r="J706" s="488"/>
      <c r="K706" s="488"/>
      <c r="L706" s="489">
        <v>2.5</v>
      </c>
      <c r="M706" s="488">
        <f>L706*1390*12</f>
        <v>41700</v>
      </c>
      <c r="N706" s="488">
        <f>M706</f>
        <v>41700</v>
      </c>
      <c r="O706" s="470">
        <f t="shared" si="159"/>
        <v>41700</v>
      </c>
      <c r="P706" s="488"/>
      <c r="Q706" s="622"/>
    </row>
    <row r="707" spans="1:17" ht="16.5">
      <c r="A707" s="171"/>
      <c r="B707" s="206"/>
      <c r="C707" s="170" t="s">
        <v>626</v>
      </c>
      <c r="D707" s="505">
        <v>2</v>
      </c>
      <c r="E707" s="488">
        <f>D707*1300*12</f>
        <v>31200</v>
      </c>
      <c r="F707" s="488">
        <f t="shared" ref="F707:F760" si="167">G707+J707</f>
        <v>31200</v>
      </c>
      <c r="G707" s="484">
        <f>H707+I707</f>
        <v>31200</v>
      </c>
      <c r="H707" s="488">
        <f>E707</f>
        <v>31200</v>
      </c>
      <c r="I707" s="488"/>
      <c r="J707" s="488"/>
      <c r="K707" s="488"/>
      <c r="L707" s="489">
        <v>2</v>
      </c>
      <c r="M707" s="488">
        <f>L707*1390*12</f>
        <v>33360</v>
      </c>
      <c r="N707" s="488">
        <f>M707</f>
        <v>33360</v>
      </c>
      <c r="O707" s="470">
        <f t="shared" si="159"/>
        <v>33360</v>
      </c>
      <c r="P707" s="488"/>
      <c r="Q707" s="622"/>
    </row>
    <row r="708" spans="1:17" ht="16.5">
      <c r="A708" s="171"/>
      <c r="B708" s="206"/>
      <c r="C708" s="170" t="s">
        <v>102</v>
      </c>
      <c r="D708" s="489">
        <f>2.34+0.1</f>
        <v>2.44</v>
      </c>
      <c r="E708" s="488">
        <f>D708*1300*12</f>
        <v>38064</v>
      </c>
      <c r="F708" s="488">
        <f t="shared" si="167"/>
        <v>42044</v>
      </c>
      <c r="G708" s="484">
        <f t="shared" si="155"/>
        <v>38064</v>
      </c>
      <c r="H708" s="488">
        <f>E708</f>
        <v>38064</v>
      </c>
      <c r="I708" s="488"/>
      <c r="J708" s="488">
        <v>3980</v>
      </c>
      <c r="K708" s="488"/>
      <c r="L708" s="489">
        <f>2.34+0.1</f>
        <v>2.44</v>
      </c>
      <c r="M708" s="488">
        <f>L708*1390*12</f>
        <v>40699.199999999997</v>
      </c>
      <c r="N708" s="488">
        <f>M708</f>
        <v>40699.199999999997</v>
      </c>
      <c r="O708" s="470">
        <f t="shared" si="159"/>
        <v>40699.199999999997</v>
      </c>
      <c r="P708" s="488"/>
      <c r="Q708" s="622"/>
    </row>
    <row r="709" spans="1:17" ht="16.5">
      <c r="A709" s="171"/>
      <c r="B709" s="206"/>
      <c r="C709" s="170" t="s">
        <v>175</v>
      </c>
      <c r="D709" s="489">
        <f>2.34*23.5%</f>
        <v>0.54989999999999994</v>
      </c>
      <c r="E709" s="488">
        <f>D709*1300*12</f>
        <v>8578.4399999999987</v>
      </c>
      <c r="F709" s="488">
        <f t="shared" si="167"/>
        <v>8578.4399999999987</v>
      </c>
      <c r="G709" s="484">
        <f t="shared" si="155"/>
        <v>8578.4399999999987</v>
      </c>
      <c r="H709" s="488">
        <f>E709</f>
        <v>8578.4399999999987</v>
      </c>
      <c r="I709" s="488"/>
      <c r="J709" s="488"/>
      <c r="K709" s="488"/>
      <c r="L709" s="489">
        <f>2.34*23.5%</f>
        <v>0.54989999999999994</v>
      </c>
      <c r="M709" s="488">
        <f>L709*1390*12</f>
        <v>9172.3319999999985</v>
      </c>
      <c r="N709" s="488">
        <f>M709</f>
        <v>9172.3319999999985</v>
      </c>
      <c r="O709" s="470">
        <f t="shared" si="159"/>
        <v>9172.3319999999985</v>
      </c>
      <c r="P709" s="488"/>
      <c r="Q709" s="622"/>
    </row>
    <row r="710" spans="1:17" ht="16.5">
      <c r="A710" s="171"/>
      <c r="B710" s="174"/>
      <c r="C710" s="169" t="s">
        <v>732</v>
      </c>
      <c r="D710" s="490"/>
      <c r="E710" s="491">
        <f>(D708+D709)*20/80*1300*12</f>
        <v>11660.61</v>
      </c>
      <c r="F710" s="491">
        <f t="shared" si="167"/>
        <v>11660.61</v>
      </c>
      <c r="G710" s="472">
        <f>H710+I710</f>
        <v>11660.61</v>
      </c>
      <c r="H710" s="491">
        <f>E710</f>
        <v>11660.61</v>
      </c>
      <c r="I710" s="491"/>
      <c r="J710" s="491"/>
      <c r="K710" s="491"/>
      <c r="L710" s="492"/>
      <c r="M710" s="491">
        <f>(L709+L708)*20/80*1300*12</f>
        <v>11660.61</v>
      </c>
      <c r="N710" s="491">
        <f>M710</f>
        <v>11660.61</v>
      </c>
      <c r="O710" s="466">
        <f t="shared" si="159"/>
        <v>11660.61</v>
      </c>
      <c r="P710" s="491"/>
      <c r="Q710" s="622"/>
    </row>
    <row r="711" spans="1:17" ht="16.5">
      <c r="A711" s="171"/>
      <c r="B711" s="174"/>
      <c r="C711" s="169" t="s">
        <v>380</v>
      </c>
      <c r="D711" s="471">
        <f t="shared" ref="D711:F711" si="168">SUM(D712:D716)</f>
        <v>0</v>
      </c>
      <c r="E711" s="472">
        <f t="shared" si="168"/>
        <v>48000</v>
      </c>
      <c r="F711" s="472">
        <f t="shared" si="168"/>
        <v>48000</v>
      </c>
      <c r="G711" s="472">
        <f t="shared" si="155"/>
        <v>48000</v>
      </c>
      <c r="H711" s="472">
        <f t="shared" ref="H711:N711" si="169">SUM(H712:H716)</f>
        <v>48000</v>
      </c>
      <c r="I711" s="472">
        <f t="shared" si="169"/>
        <v>0</v>
      </c>
      <c r="J711" s="472">
        <f t="shared" si="169"/>
        <v>0</v>
      </c>
      <c r="K711" s="472">
        <f t="shared" si="169"/>
        <v>0</v>
      </c>
      <c r="L711" s="471">
        <f t="shared" si="169"/>
        <v>0</v>
      </c>
      <c r="M711" s="472">
        <f t="shared" si="169"/>
        <v>48000</v>
      </c>
      <c r="N711" s="472">
        <f t="shared" si="169"/>
        <v>48000</v>
      </c>
      <c r="O711" s="466">
        <f t="shared" si="159"/>
        <v>48000</v>
      </c>
      <c r="P711" s="472"/>
      <c r="Q711" s="622"/>
    </row>
    <row r="712" spans="1:17" ht="16.5">
      <c r="A712" s="173"/>
      <c r="B712" s="174"/>
      <c r="C712" s="170" t="s">
        <v>741</v>
      </c>
      <c r="D712" s="490"/>
      <c r="E712" s="488">
        <f>13500</f>
        <v>13500</v>
      </c>
      <c r="F712" s="488">
        <f t="shared" si="167"/>
        <v>13500</v>
      </c>
      <c r="G712" s="484">
        <f t="shared" si="155"/>
        <v>13500</v>
      </c>
      <c r="H712" s="488">
        <f>E712</f>
        <v>13500</v>
      </c>
      <c r="I712" s="488"/>
      <c r="J712" s="488"/>
      <c r="K712" s="488"/>
      <c r="L712" s="490"/>
      <c r="M712" s="488">
        <v>13500</v>
      </c>
      <c r="N712" s="488">
        <v>13500</v>
      </c>
      <c r="O712" s="470">
        <f t="shared" si="159"/>
        <v>13500</v>
      </c>
      <c r="P712" s="488"/>
      <c r="Q712" s="622"/>
    </row>
    <row r="713" spans="1:17" ht="30">
      <c r="A713" s="173"/>
      <c r="B713" s="174"/>
      <c r="C713" s="170" t="s">
        <v>634</v>
      </c>
      <c r="D713" s="490"/>
      <c r="E713" s="488">
        <v>4500</v>
      </c>
      <c r="F713" s="488">
        <f t="shared" si="167"/>
        <v>4500</v>
      </c>
      <c r="G713" s="484">
        <f t="shared" si="155"/>
        <v>4500</v>
      </c>
      <c r="H713" s="488">
        <f>E713</f>
        <v>4500</v>
      </c>
      <c r="I713" s="488"/>
      <c r="J713" s="488"/>
      <c r="K713" s="488"/>
      <c r="L713" s="490"/>
      <c r="M713" s="488">
        <v>4500</v>
      </c>
      <c r="N713" s="488">
        <v>4500</v>
      </c>
      <c r="O713" s="470">
        <f t="shared" si="159"/>
        <v>4500</v>
      </c>
      <c r="P713" s="488"/>
      <c r="Q713" s="622"/>
    </row>
    <row r="714" spans="1:17" ht="16.5">
      <c r="A714" s="171"/>
      <c r="B714" s="175"/>
      <c r="C714" s="170" t="s">
        <v>742</v>
      </c>
      <c r="D714" s="490"/>
      <c r="E714" s="488">
        <v>10000</v>
      </c>
      <c r="F714" s="488">
        <f t="shared" si="167"/>
        <v>10000</v>
      </c>
      <c r="G714" s="484">
        <f t="shared" si="155"/>
        <v>10000</v>
      </c>
      <c r="H714" s="488">
        <f>E714</f>
        <v>10000</v>
      </c>
      <c r="I714" s="488"/>
      <c r="J714" s="488"/>
      <c r="K714" s="488"/>
      <c r="L714" s="490"/>
      <c r="M714" s="488">
        <v>10000</v>
      </c>
      <c r="N714" s="488">
        <v>10000</v>
      </c>
      <c r="O714" s="470">
        <f t="shared" si="159"/>
        <v>10000</v>
      </c>
      <c r="P714" s="488"/>
      <c r="Q714" s="622"/>
    </row>
    <row r="715" spans="1:17" ht="16.5">
      <c r="A715" s="173"/>
      <c r="B715" s="174"/>
      <c r="C715" s="170" t="s">
        <v>396</v>
      </c>
      <c r="D715" s="490"/>
      <c r="E715" s="488">
        <v>10000</v>
      </c>
      <c r="F715" s="488">
        <f t="shared" si="167"/>
        <v>10000</v>
      </c>
      <c r="G715" s="484">
        <f t="shared" si="155"/>
        <v>10000</v>
      </c>
      <c r="H715" s="488">
        <f>E715</f>
        <v>10000</v>
      </c>
      <c r="I715" s="488"/>
      <c r="J715" s="488"/>
      <c r="K715" s="488"/>
      <c r="L715" s="490"/>
      <c r="M715" s="488">
        <v>10000</v>
      </c>
      <c r="N715" s="488">
        <v>10000</v>
      </c>
      <c r="O715" s="470">
        <f t="shared" si="159"/>
        <v>10000</v>
      </c>
      <c r="P715" s="488"/>
      <c r="Q715" s="622"/>
    </row>
    <row r="716" spans="1:17" ht="16.5">
      <c r="A716" s="173"/>
      <c r="B716" s="174"/>
      <c r="C716" s="170" t="s">
        <v>627</v>
      </c>
      <c r="D716" s="490"/>
      <c r="E716" s="488">
        <v>10000</v>
      </c>
      <c r="F716" s="488">
        <f t="shared" si="167"/>
        <v>10000</v>
      </c>
      <c r="G716" s="484">
        <f t="shared" si="155"/>
        <v>10000</v>
      </c>
      <c r="H716" s="488">
        <v>10000</v>
      </c>
      <c r="I716" s="488"/>
      <c r="J716" s="488"/>
      <c r="K716" s="488"/>
      <c r="L716" s="490"/>
      <c r="M716" s="488">
        <v>10000</v>
      </c>
      <c r="N716" s="488">
        <v>10000</v>
      </c>
      <c r="O716" s="470">
        <f t="shared" si="159"/>
        <v>10000</v>
      </c>
      <c r="P716" s="488"/>
      <c r="Q716" s="622"/>
    </row>
    <row r="717" spans="1:17" ht="16.5">
      <c r="A717" s="171">
        <v>9</v>
      </c>
      <c r="B717" s="174"/>
      <c r="C717" s="169" t="s">
        <v>224</v>
      </c>
      <c r="D717" s="490"/>
      <c r="E717" s="491">
        <v>20000</v>
      </c>
      <c r="F717" s="491">
        <f t="shared" si="167"/>
        <v>20000</v>
      </c>
      <c r="G717" s="472">
        <f t="shared" si="155"/>
        <v>20000</v>
      </c>
      <c r="H717" s="491">
        <v>20000</v>
      </c>
      <c r="I717" s="491"/>
      <c r="J717" s="491"/>
      <c r="K717" s="491"/>
      <c r="L717" s="492"/>
      <c r="M717" s="491">
        <v>20000</v>
      </c>
      <c r="N717" s="491">
        <v>20000</v>
      </c>
      <c r="O717" s="466">
        <f t="shared" si="159"/>
        <v>20000</v>
      </c>
      <c r="P717" s="491"/>
      <c r="Q717" s="622"/>
    </row>
    <row r="718" spans="1:17" ht="16.5">
      <c r="A718" s="171">
        <v>10</v>
      </c>
      <c r="B718" s="174"/>
      <c r="C718" s="169" t="s">
        <v>354</v>
      </c>
      <c r="D718" s="490"/>
      <c r="E718" s="491">
        <v>80000</v>
      </c>
      <c r="F718" s="491">
        <f t="shared" si="167"/>
        <v>80000</v>
      </c>
      <c r="G718" s="472">
        <f>H718+I718</f>
        <v>80000</v>
      </c>
      <c r="H718" s="491">
        <f>30000+40000</f>
        <v>70000</v>
      </c>
      <c r="I718" s="491">
        <v>10000</v>
      </c>
      <c r="J718" s="491"/>
      <c r="K718" s="491"/>
      <c r="L718" s="492"/>
      <c r="M718" s="491">
        <v>40000</v>
      </c>
      <c r="N718" s="491">
        <v>40000</v>
      </c>
      <c r="O718" s="466">
        <f t="shared" si="159"/>
        <v>40000</v>
      </c>
      <c r="P718" s="491"/>
      <c r="Q718" s="634"/>
    </row>
    <row r="719" spans="1:17" ht="16.5">
      <c r="A719" s="171">
        <v>11</v>
      </c>
      <c r="B719" s="174"/>
      <c r="C719" s="169" t="s">
        <v>355</v>
      </c>
      <c r="D719" s="490"/>
      <c r="E719" s="491">
        <v>71000</v>
      </c>
      <c r="F719" s="491">
        <f t="shared" si="167"/>
        <v>71000</v>
      </c>
      <c r="G719" s="472">
        <f t="shared" si="155"/>
        <v>71000</v>
      </c>
      <c r="H719" s="491">
        <f>E719</f>
        <v>71000</v>
      </c>
      <c r="I719" s="491"/>
      <c r="J719" s="491"/>
      <c r="K719" s="491"/>
      <c r="L719" s="492"/>
      <c r="M719" s="491">
        <v>71000</v>
      </c>
      <c r="N719" s="491">
        <f>M719</f>
        <v>71000</v>
      </c>
      <c r="O719" s="466">
        <f t="shared" si="159"/>
        <v>71000</v>
      </c>
      <c r="P719" s="491"/>
      <c r="Q719" s="622"/>
    </row>
    <row r="720" spans="1:17" ht="16.5">
      <c r="A720" s="171">
        <v>12</v>
      </c>
      <c r="B720" s="174"/>
      <c r="C720" s="169" t="s">
        <v>222</v>
      </c>
      <c r="D720" s="490"/>
      <c r="E720" s="491">
        <v>20000</v>
      </c>
      <c r="F720" s="491">
        <f t="shared" si="167"/>
        <v>20000</v>
      </c>
      <c r="G720" s="472">
        <f t="shared" si="155"/>
        <v>20000</v>
      </c>
      <c r="H720" s="491">
        <v>20000</v>
      </c>
      <c r="I720" s="491"/>
      <c r="J720" s="491"/>
      <c r="K720" s="491"/>
      <c r="L720" s="492"/>
      <c r="M720" s="491">
        <v>20000</v>
      </c>
      <c r="N720" s="491">
        <f t="shared" ref="N720:N725" si="170">M720</f>
        <v>20000</v>
      </c>
      <c r="O720" s="466">
        <f t="shared" si="159"/>
        <v>20000</v>
      </c>
      <c r="P720" s="491"/>
      <c r="Q720" s="622"/>
    </row>
    <row r="721" spans="1:18" ht="16.5">
      <c r="A721" s="171">
        <v>13</v>
      </c>
      <c r="B721" s="174"/>
      <c r="C721" s="169" t="s">
        <v>223</v>
      </c>
      <c r="D721" s="490"/>
      <c r="E721" s="491">
        <v>71000</v>
      </c>
      <c r="F721" s="491">
        <f t="shared" si="167"/>
        <v>71000</v>
      </c>
      <c r="G721" s="472">
        <f t="shared" si="155"/>
        <v>71000</v>
      </c>
      <c r="H721" s="491">
        <f>E721</f>
        <v>71000</v>
      </c>
      <c r="I721" s="491"/>
      <c r="J721" s="491"/>
      <c r="K721" s="491"/>
      <c r="L721" s="492"/>
      <c r="M721" s="491">
        <v>71000</v>
      </c>
      <c r="N721" s="491">
        <f t="shared" si="170"/>
        <v>71000</v>
      </c>
      <c r="O721" s="466">
        <f t="shared" si="159"/>
        <v>71000</v>
      </c>
      <c r="P721" s="491"/>
      <c r="Q721" s="622"/>
      <c r="R721" s="116">
        <f>G658+G681+G696+G711</f>
        <v>465300</v>
      </c>
    </row>
    <row r="722" spans="1:18" ht="16.5">
      <c r="A722" s="171">
        <v>14</v>
      </c>
      <c r="B722" s="174"/>
      <c r="C722" s="169" t="s">
        <v>574</v>
      </c>
      <c r="D722" s="490"/>
      <c r="E722" s="491">
        <v>20000</v>
      </c>
      <c r="F722" s="491">
        <f t="shared" si="167"/>
        <v>20000</v>
      </c>
      <c r="G722" s="472">
        <f t="shared" si="155"/>
        <v>20000</v>
      </c>
      <c r="H722" s="491">
        <v>20000</v>
      </c>
      <c r="I722" s="491"/>
      <c r="J722" s="491"/>
      <c r="K722" s="491"/>
      <c r="L722" s="492"/>
      <c r="M722" s="491">
        <v>20000</v>
      </c>
      <c r="N722" s="491">
        <f t="shared" si="170"/>
        <v>20000</v>
      </c>
      <c r="O722" s="466">
        <f t="shared" si="159"/>
        <v>20000</v>
      </c>
      <c r="P722" s="491"/>
      <c r="Q722" s="622"/>
    </row>
    <row r="723" spans="1:18" ht="16.5">
      <c r="A723" s="171">
        <v>15</v>
      </c>
      <c r="B723" s="174"/>
      <c r="C723" s="169" t="s">
        <v>542</v>
      </c>
      <c r="D723" s="490"/>
      <c r="E723" s="491">
        <v>20000</v>
      </c>
      <c r="F723" s="491">
        <f t="shared" si="167"/>
        <v>20000</v>
      </c>
      <c r="G723" s="472">
        <f t="shared" si="155"/>
        <v>20000</v>
      </c>
      <c r="H723" s="491">
        <v>20000</v>
      </c>
      <c r="I723" s="491"/>
      <c r="J723" s="491"/>
      <c r="K723" s="491"/>
      <c r="L723" s="492"/>
      <c r="M723" s="491">
        <v>20000</v>
      </c>
      <c r="N723" s="491">
        <f t="shared" si="170"/>
        <v>20000</v>
      </c>
      <c r="O723" s="466">
        <f t="shared" si="159"/>
        <v>20000</v>
      </c>
      <c r="P723" s="491"/>
      <c r="Q723" s="622"/>
    </row>
    <row r="724" spans="1:18" ht="16.5">
      <c r="A724" s="171">
        <v>16</v>
      </c>
      <c r="B724" s="172"/>
      <c r="C724" s="169" t="s">
        <v>397</v>
      </c>
      <c r="D724" s="490"/>
      <c r="E724" s="491">
        <v>20000</v>
      </c>
      <c r="F724" s="491">
        <f t="shared" si="167"/>
        <v>20000</v>
      </c>
      <c r="G724" s="472">
        <f t="shared" si="155"/>
        <v>20000</v>
      </c>
      <c r="H724" s="491">
        <v>20000</v>
      </c>
      <c r="I724" s="491"/>
      <c r="J724" s="491"/>
      <c r="K724" s="491"/>
      <c r="L724" s="492"/>
      <c r="M724" s="491">
        <v>20000</v>
      </c>
      <c r="N724" s="491">
        <f t="shared" si="170"/>
        <v>20000</v>
      </c>
      <c r="O724" s="466">
        <f t="shared" si="159"/>
        <v>20000</v>
      </c>
      <c r="P724" s="491"/>
      <c r="Q724" s="622"/>
    </row>
    <row r="725" spans="1:18" ht="16.5">
      <c r="A725" s="171">
        <v>17</v>
      </c>
      <c r="B725" s="174"/>
      <c r="C725" s="169" t="s">
        <v>543</v>
      </c>
      <c r="D725" s="490"/>
      <c r="E725" s="491">
        <v>20000</v>
      </c>
      <c r="F725" s="491">
        <f t="shared" si="167"/>
        <v>20000</v>
      </c>
      <c r="G725" s="472">
        <f t="shared" si="155"/>
        <v>20000</v>
      </c>
      <c r="H725" s="491">
        <v>20000</v>
      </c>
      <c r="I725" s="491"/>
      <c r="J725" s="491"/>
      <c r="K725" s="491"/>
      <c r="L725" s="492"/>
      <c r="M725" s="491">
        <v>20000</v>
      </c>
      <c r="N725" s="491">
        <f t="shared" si="170"/>
        <v>20000</v>
      </c>
      <c r="O725" s="466">
        <f t="shared" si="159"/>
        <v>20000</v>
      </c>
      <c r="P725" s="491"/>
      <c r="Q725" s="622"/>
    </row>
    <row r="726" spans="1:18" ht="16.5">
      <c r="A726" s="171" t="s">
        <v>26</v>
      </c>
      <c r="B726" s="174"/>
      <c r="C726" s="169" t="s">
        <v>358</v>
      </c>
      <c r="D726" s="471"/>
      <c r="E726" s="472">
        <f>(E727+E745+E759)</f>
        <v>1998864</v>
      </c>
      <c r="F726" s="491">
        <f t="shared" si="167"/>
        <v>1965939</v>
      </c>
      <c r="G726" s="472">
        <f>H726+I726</f>
        <v>1697964</v>
      </c>
      <c r="H726" s="472">
        <f t="shared" ref="H726:N726" si="171">(H727+H745)</f>
        <v>1282540</v>
      </c>
      <c r="I726" s="472">
        <f t="shared" si="171"/>
        <v>415424</v>
      </c>
      <c r="J726" s="472">
        <f t="shared" si="171"/>
        <v>267975</v>
      </c>
      <c r="K726" s="472">
        <f t="shared" si="171"/>
        <v>0</v>
      </c>
      <c r="L726" s="471">
        <f t="shared" si="171"/>
        <v>0</v>
      </c>
      <c r="M726" s="472">
        <f t="shared" si="171"/>
        <v>4107772</v>
      </c>
      <c r="N726" s="472">
        <f t="shared" si="171"/>
        <v>2860498</v>
      </c>
      <c r="O726" s="466">
        <f t="shared" si="159"/>
        <v>2860498</v>
      </c>
      <c r="P726" s="472"/>
      <c r="Q726" s="622"/>
    </row>
    <row r="727" spans="1:18" ht="16.5">
      <c r="A727" s="171">
        <v>1</v>
      </c>
      <c r="B727" s="174"/>
      <c r="C727" s="169" t="s">
        <v>359</v>
      </c>
      <c r="D727" s="471">
        <f>SUM(D728:D742)</f>
        <v>0</v>
      </c>
      <c r="E727" s="472">
        <f>SUM(E728:E742)</f>
        <v>1934864</v>
      </c>
      <c r="F727" s="491">
        <f t="shared" si="167"/>
        <v>1885299</v>
      </c>
      <c r="G727" s="472">
        <f>H727+I727</f>
        <v>1633964</v>
      </c>
      <c r="H727" s="472">
        <f>SUM(H728:H742)</f>
        <v>1228540</v>
      </c>
      <c r="I727" s="472">
        <f>SUM(I728:I742)</f>
        <v>405424</v>
      </c>
      <c r="J727" s="472">
        <f>SUM(J728:J743)</f>
        <v>251335</v>
      </c>
      <c r="K727" s="472">
        <f>SUM(K728:K742)</f>
        <v>0</v>
      </c>
      <c r="L727" s="471">
        <f>SUM(L728:L742)</f>
        <v>0</v>
      </c>
      <c r="M727" s="472">
        <f>SUM(M728:M744)</f>
        <v>2728772</v>
      </c>
      <c r="N727" s="472">
        <f>SUM(N728:N744)</f>
        <v>1986498</v>
      </c>
      <c r="O727" s="466">
        <f t="shared" si="159"/>
        <v>1986498</v>
      </c>
      <c r="P727" s="472"/>
      <c r="Q727" s="622"/>
    </row>
    <row r="728" spans="1:18" ht="369.75">
      <c r="A728" s="171"/>
      <c r="B728" s="174"/>
      <c r="C728" s="170" t="s">
        <v>1105</v>
      </c>
      <c r="D728" s="490"/>
      <c r="E728" s="488">
        <v>347960</v>
      </c>
      <c r="F728" s="488">
        <f t="shared" si="167"/>
        <v>347960</v>
      </c>
      <c r="G728" s="484">
        <f>H728+I728</f>
        <v>347960</v>
      </c>
      <c r="H728" s="488">
        <v>347960</v>
      </c>
      <c r="I728" s="488"/>
      <c r="J728" s="488"/>
      <c r="K728" s="488"/>
      <c r="L728" s="490"/>
      <c r="M728" s="488">
        <f>599311</f>
        <v>599311</v>
      </c>
      <c r="N728" s="488">
        <v>350340</v>
      </c>
      <c r="O728" s="470">
        <f t="shared" si="159"/>
        <v>350340</v>
      </c>
      <c r="P728" s="488"/>
      <c r="Q728" s="623" t="s">
        <v>1106</v>
      </c>
    </row>
    <row r="729" spans="1:18" ht="102">
      <c r="A729" s="171"/>
      <c r="B729" s="174"/>
      <c r="C729" s="170" t="s">
        <v>1107</v>
      </c>
      <c r="D729" s="490"/>
      <c r="E729" s="488">
        <v>20000</v>
      </c>
      <c r="F729" s="488">
        <f>G729+J729</f>
        <v>20000</v>
      </c>
      <c r="G729" s="484">
        <f t="shared" si="155"/>
        <v>20000</v>
      </c>
      <c r="H729" s="488">
        <v>20000</v>
      </c>
      <c r="I729" s="488"/>
      <c r="J729" s="488"/>
      <c r="K729" s="488"/>
      <c r="L729" s="490"/>
      <c r="M729" s="488">
        <v>35000</v>
      </c>
      <c r="N729" s="488">
        <v>25000</v>
      </c>
      <c r="O729" s="470">
        <f t="shared" si="159"/>
        <v>25000</v>
      </c>
      <c r="P729" s="488"/>
      <c r="Q729" s="357" t="s">
        <v>1108</v>
      </c>
    </row>
    <row r="730" spans="1:18" ht="30">
      <c r="A730" s="171"/>
      <c r="B730" s="174"/>
      <c r="C730" s="170" t="s">
        <v>1109</v>
      </c>
      <c r="D730" s="490"/>
      <c r="E730" s="488">
        <v>86500</v>
      </c>
      <c r="F730" s="488">
        <f t="shared" si="167"/>
        <v>40000</v>
      </c>
      <c r="G730" s="484">
        <f t="shared" si="155"/>
        <v>40000</v>
      </c>
      <c r="H730" s="488">
        <v>30000</v>
      </c>
      <c r="I730" s="488">
        <v>10000</v>
      </c>
      <c r="J730" s="488"/>
      <c r="K730" s="488"/>
      <c r="L730" s="490"/>
      <c r="M730" s="488">
        <v>90500</v>
      </c>
      <c r="N730" s="488">
        <v>40000</v>
      </c>
      <c r="O730" s="470">
        <f t="shared" si="159"/>
        <v>40000</v>
      </c>
      <c r="P730" s="488"/>
      <c r="Q730" s="622"/>
    </row>
    <row r="731" spans="1:18" ht="75">
      <c r="A731" s="171"/>
      <c r="B731" s="174"/>
      <c r="C731" s="170" t="s">
        <v>1110</v>
      </c>
      <c r="D731" s="490"/>
      <c r="E731" s="488">
        <v>512600</v>
      </c>
      <c r="F731" s="488">
        <f t="shared" si="167"/>
        <v>512600</v>
      </c>
      <c r="G731" s="484">
        <f t="shared" si="155"/>
        <v>512600</v>
      </c>
      <c r="H731" s="488">
        <v>412600</v>
      </c>
      <c r="I731" s="488">
        <v>100000</v>
      </c>
      <c r="J731" s="488"/>
      <c r="K731" s="488"/>
      <c r="L731" s="490"/>
      <c r="M731" s="488">
        <v>550843</v>
      </c>
      <c r="N731" s="488">
        <v>512600</v>
      </c>
      <c r="O731" s="470">
        <f t="shared" si="159"/>
        <v>512600</v>
      </c>
      <c r="P731" s="488"/>
      <c r="Q731" s="622" t="s">
        <v>1223</v>
      </c>
    </row>
    <row r="732" spans="1:18" ht="16.5">
      <c r="A732" s="171"/>
      <c r="B732" s="174"/>
      <c r="C732" s="170" t="s">
        <v>1111</v>
      </c>
      <c r="D732" s="490"/>
      <c r="E732" s="488">
        <v>43000</v>
      </c>
      <c r="F732" s="488">
        <f t="shared" si="167"/>
        <v>30000</v>
      </c>
      <c r="G732" s="484">
        <f t="shared" si="155"/>
        <v>30000</v>
      </c>
      <c r="H732" s="488">
        <v>20000</v>
      </c>
      <c r="I732" s="488">
        <v>10000</v>
      </c>
      <c r="J732" s="488"/>
      <c r="K732" s="488"/>
      <c r="L732" s="490"/>
      <c r="M732" s="488">
        <v>55000</v>
      </c>
      <c r="N732" s="488">
        <v>30000</v>
      </c>
      <c r="O732" s="470">
        <f t="shared" si="159"/>
        <v>30000</v>
      </c>
      <c r="P732" s="488"/>
      <c r="Q732" s="622"/>
    </row>
    <row r="733" spans="1:18" ht="45">
      <c r="A733" s="171"/>
      <c r="B733" s="174"/>
      <c r="C733" s="170" t="s">
        <v>1112</v>
      </c>
      <c r="D733" s="490"/>
      <c r="E733" s="488">
        <v>63000</v>
      </c>
      <c r="F733" s="488">
        <f t="shared" si="167"/>
        <v>10000</v>
      </c>
      <c r="G733" s="484">
        <f t="shared" si="155"/>
        <v>10000</v>
      </c>
      <c r="H733" s="488">
        <v>10000</v>
      </c>
      <c r="I733" s="488"/>
      <c r="J733" s="488"/>
      <c r="K733" s="488"/>
      <c r="L733" s="490"/>
      <c r="M733" s="488">
        <v>63000</v>
      </c>
      <c r="N733" s="488">
        <v>20000</v>
      </c>
      <c r="O733" s="470">
        <f t="shared" si="159"/>
        <v>20000</v>
      </c>
      <c r="P733" s="488"/>
      <c r="Q733" s="622"/>
    </row>
    <row r="734" spans="1:18" ht="16.5">
      <c r="A734" s="171"/>
      <c r="B734" s="174"/>
      <c r="C734" s="170" t="s">
        <v>1113</v>
      </c>
      <c r="D734" s="490"/>
      <c r="E734" s="488">
        <v>123000</v>
      </c>
      <c r="F734" s="488">
        <f t="shared" si="167"/>
        <v>69000</v>
      </c>
      <c r="G734" s="484">
        <f t="shared" si="155"/>
        <v>56000</v>
      </c>
      <c r="H734" s="488">
        <v>56000</v>
      </c>
      <c r="I734" s="488"/>
      <c r="J734" s="488">
        <v>13000</v>
      </c>
      <c r="K734" s="488"/>
      <c r="L734" s="490"/>
      <c r="M734" s="488">
        <v>129360</v>
      </c>
      <c r="N734" s="488">
        <v>100000</v>
      </c>
      <c r="O734" s="470">
        <f t="shared" si="159"/>
        <v>100000</v>
      </c>
      <c r="P734" s="488"/>
      <c r="Q734" s="622" t="s">
        <v>1223</v>
      </c>
    </row>
    <row r="735" spans="1:18" ht="16.5">
      <c r="A735" s="171"/>
      <c r="B735" s="174"/>
      <c r="C735" s="170" t="s">
        <v>682</v>
      </c>
      <c r="D735" s="490"/>
      <c r="E735" s="488">
        <v>40000</v>
      </c>
      <c r="F735" s="488">
        <f t="shared" si="167"/>
        <v>35000</v>
      </c>
      <c r="G735" s="484">
        <f t="shared" si="155"/>
        <v>35000</v>
      </c>
      <c r="H735" s="488">
        <v>20000</v>
      </c>
      <c r="I735" s="488">
        <v>15000</v>
      </c>
      <c r="J735" s="488"/>
      <c r="K735" s="488"/>
      <c r="L735" s="490"/>
      <c r="M735" s="488">
        <v>60000</v>
      </c>
      <c r="N735" s="488">
        <v>35000</v>
      </c>
      <c r="O735" s="470">
        <f t="shared" si="159"/>
        <v>35000</v>
      </c>
      <c r="P735" s="488"/>
      <c r="Q735" s="622"/>
    </row>
    <row r="736" spans="1:18" ht="16.5">
      <c r="A736" s="171"/>
      <c r="B736" s="174"/>
      <c r="C736" s="170" t="s">
        <v>770</v>
      </c>
      <c r="D736" s="490"/>
      <c r="E736" s="488">
        <v>122980</v>
      </c>
      <c r="F736" s="488">
        <f t="shared" si="167"/>
        <v>122980</v>
      </c>
      <c r="G736" s="484">
        <f t="shared" si="155"/>
        <v>122980</v>
      </c>
      <c r="H736" s="488">
        <v>122980</v>
      </c>
      <c r="I736" s="488"/>
      <c r="J736" s="488"/>
      <c r="K736" s="488"/>
      <c r="L736" s="490"/>
      <c r="M736" s="488">
        <v>125799</v>
      </c>
      <c r="N736" s="488">
        <v>125799</v>
      </c>
      <c r="O736" s="470">
        <f t="shared" si="159"/>
        <v>125799</v>
      </c>
      <c r="P736" s="488"/>
      <c r="Q736" s="622"/>
    </row>
    <row r="737" spans="1:17" ht="16.5">
      <c r="A737" s="171"/>
      <c r="B737" s="174"/>
      <c r="C737" s="170" t="s">
        <v>683</v>
      </c>
      <c r="D737" s="490"/>
      <c r="E737" s="488">
        <v>20000</v>
      </c>
      <c r="F737" s="488">
        <f t="shared" si="167"/>
        <v>15000</v>
      </c>
      <c r="G737" s="484">
        <f t="shared" si="155"/>
        <v>15000</v>
      </c>
      <c r="H737" s="488">
        <v>15000</v>
      </c>
      <c r="I737" s="488"/>
      <c r="J737" s="488"/>
      <c r="K737" s="488"/>
      <c r="L737" s="490"/>
      <c r="M737" s="488">
        <v>15000</v>
      </c>
      <c r="N737" s="488">
        <v>15000</v>
      </c>
      <c r="O737" s="470">
        <f t="shared" si="159"/>
        <v>15000</v>
      </c>
      <c r="P737" s="488"/>
      <c r="Q737" s="622"/>
    </row>
    <row r="738" spans="1:17" ht="16.5">
      <c r="A738" s="171"/>
      <c r="B738" s="172"/>
      <c r="C738" s="170" t="s">
        <v>360</v>
      </c>
      <c r="D738" s="490"/>
      <c r="E738" s="488">
        <v>45000</v>
      </c>
      <c r="F738" s="488">
        <f t="shared" si="167"/>
        <v>20000</v>
      </c>
      <c r="G738" s="484">
        <f t="shared" si="155"/>
        <v>20000</v>
      </c>
      <c r="H738" s="488">
        <v>20000</v>
      </c>
      <c r="I738" s="488"/>
      <c r="J738" s="488"/>
      <c r="K738" s="488"/>
      <c r="L738" s="490"/>
      <c r="M738" s="488">
        <v>45000</v>
      </c>
      <c r="N738" s="488">
        <v>20000</v>
      </c>
      <c r="O738" s="470">
        <f t="shared" si="159"/>
        <v>20000</v>
      </c>
      <c r="P738" s="488"/>
      <c r="Q738" s="622"/>
    </row>
    <row r="739" spans="1:17" ht="30">
      <c r="A739" s="171"/>
      <c r="B739" s="174"/>
      <c r="C739" s="170" t="s">
        <v>1114</v>
      </c>
      <c r="D739" s="490"/>
      <c r="E739" s="488">
        <v>86400</v>
      </c>
      <c r="F739" s="488">
        <f t="shared" si="167"/>
        <v>0</v>
      </c>
      <c r="G739" s="484">
        <f t="shared" si="155"/>
        <v>0</v>
      </c>
      <c r="H739" s="488"/>
      <c r="I739" s="488"/>
      <c r="J739" s="488"/>
      <c r="K739" s="488"/>
      <c r="L739" s="490"/>
      <c r="M739" s="488">
        <v>86400</v>
      </c>
      <c r="N739" s="488"/>
      <c r="O739" s="470">
        <f t="shared" si="159"/>
        <v>0</v>
      </c>
      <c r="P739" s="488"/>
      <c r="Q739" s="622"/>
    </row>
    <row r="740" spans="1:17" ht="30">
      <c r="A740" s="171"/>
      <c r="B740" s="174"/>
      <c r="C740" s="170" t="s">
        <v>628</v>
      </c>
      <c r="D740" s="490"/>
      <c r="E740" s="488">
        <v>20000</v>
      </c>
      <c r="F740" s="488">
        <f t="shared" si="167"/>
        <v>20000</v>
      </c>
      <c r="G740" s="484">
        <f t="shared" si="155"/>
        <v>20000</v>
      </c>
      <c r="H740" s="488">
        <v>20000</v>
      </c>
      <c r="I740" s="488"/>
      <c r="J740" s="488"/>
      <c r="K740" s="488"/>
      <c r="L740" s="490"/>
      <c r="M740" s="488">
        <v>20000</v>
      </c>
      <c r="N740" s="488">
        <v>20000</v>
      </c>
      <c r="O740" s="470">
        <f t="shared" si="159"/>
        <v>20000</v>
      </c>
      <c r="P740" s="488"/>
      <c r="Q740" s="622"/>
    </row>
    <row r="741" spans="1:17" ht="16.5">
      <c r="A741" s="173"/>
      <c r="B741" s="174"/>
      <c r="C741" s="222" t="s">
        <v>425</v>
      </c>
      <c r="D741" s="567"/>
      <c r="E741" s="488">
        <v>24000</v>
      </c>
      <c r="F741" s="488">
        <f t="shared" si="167"/>
        <v>24000</v>
      </c>
      <c r="G741" s="484">
        <f t="shared" si="155"/>
        <v>24000</v>
      </c>
      <c r="H741" s="488">
        <v>24000</v>
      </c>
      <c r="I741" s="488"/>
      <c r="J741" s="488"/>
      <c r="K741" s="488"/>
      <c r="L741" s="490"/>
      <c r="M741" s="488">
        <v>24000</v>
      </c>
      <c r="N741" s="488">
        <v>24000</v>
      </c>
      <c r="O741" s="470">
        <f t="shared" si="159"/>
        <v>24000</v>
      </c>
      <c r="P741" s="488"/>
      <c r="Q741" s="622"/>
    </row>
    <row r="742" spans="1:17" ht="16.5">
      <c r="A742" s="171"/>
      <c r="B742" s="174"/>
      <c r="C742" s="222" t="s">
        <v>629</v>
      </c>
      <c r="D742" s="567"/>
      <c r="E742" s="488">
        <v>380424</v>
      </c>
      <c r="F742" s="488">
        <f t="shared" si="167"/>
        <v>380424</v>
      </c>
      <c r="G742" s="484">
        <f>H742+I742</f>
        <v>380424</v>
      </c>
      <c r="H742" s="488">
        <v>110000</v>
      </c>
      <c r="I742" s="488">
        <v>270424</v>
      </c>
      <c r="J742" s="488"/>
      <c r="K742" s="488"/>
      <c r="L742" s="490"/>
      <c r="M742" s="488">
        <v>380424</v>
      </c>
      <c r="N742" s="488">
        <v>380424</v>
      </c>
      <c r="O742" s="470">
        <f t="shared" si="159"/>
        <v>380424</v>
      </c>
      <c r="P742" s="488"/>
      <c r="Q742" s="622" t="s">
        <v>1223</v>
      </c>
    </row>
    <row r="743" spans="1:17" ht="16.5">
      <c r="A743" s="171"/>
      <c r="B743" s="174"/>
      <c r="C743" s="568" t="s">
        <v>1115</v>
      </c>
      <c r="D743" s="567"/>
      <c r="E743" s="488"/>
      <c r="F743" s="488">
        <f t="shared" si="167"/>
        <v>238335</v>
      </c>
      <c r="G743" s="484"/>
      <c r="H743" s="488"/>
      <c r="I743" s="488"/>
      <c r="J743" s="488">
        <v>238335</v>
      </c>
      <c r="K743" s="488"/>
      <c r="L743" s="490"/>
      <c r="M743" s="488">
        <v>238335</v>
      </c>
      <c r="N743" s="488">
        <v>238335</v>
      </c>
      <c r="O743" s="470">
        <f t="shared" si="159"/>
        <v>238335</v>
      </c>
      <c r="P743" s="488"/>
      <c r="Q743" s="622" t="s">
        <v>1223</v>
      </c>
    </row>
    <row r="744" spans="1:17" ht="58.5" customHeight="1">
      <c r="A744" s="171"/>
      <c r="B744" s="174"/>
      <c r="C744" s="568" t="s">
        <v>1116</v>
      </c>
      <c r="D744" s="567"/>
      <c r="E744" s="488"/>
      <c r="F744" s="488"/>
      <c r="G744" s="484"/>
      <c r="H744" s="488"/>
      <c r="I744" s="488"/>
      <c r="J744" s="488"/>
      <c r="K744" s="488"/>
      <c r="L744" s="490"/>
      <c r="M744" s="488">
        <v>210800</v>
      </c>
      <c r="N744" s="488">
        <v>50000</v>
      </c>
      <c r="O744" s="470">
        <f t="shared" si="159"/>
        <v>50000</v>
      </c>
      <c r="P744" s="488"/>
      <c r="Q744" s="622"/>
    </row>
    <row r="745" spans="1:17" ht="16.5">
      <c r="A745" s="171">
        <v>2</v>
      </c>
      <c r="B745" s="174"/>
      <c r="C745" s="169" t="s">
        <v>575</v>
      </c>
      <c r="D745" s="471">
        <f>SUM(D746:D747)</f>
        <v>0</v>
      </c>
      <c r="E745" s="472">
        <f>SUM(E746:E747)</f>
        <v>64000</v>
      </c>
      <c r="F745" s="491">
        <f t="shared" si="167"/>
        <v>80640</v>
      </c>
      <c r="G745" s="472">
        <f>H745+I745</f>
        <v>64000</v>
      </c>
      <c r="H745" s="472">
        <f>SUM(H746:H747)</f>
        <v>54000</v>
      </c>
      <c r="I745" s="472">
        <f>SUM(I746:I757)</f>
        <v>10000</v>
      </c>
      <c r="J745" s="472">
        <f>SUM(J746:J757)</f>
        <v>16640</v>
      </c>
      <c r="K745" s="472">
        <f>SUM(K746:K757)</f>
        <v>0</v>
      </c>
      <c r="L745" s="471">
        <f>SUM(L746:L757)</f>
        <v>0</v>
      </c>
      <c r="M745" s="472">
        <f>SUM(M746:M758)</f>
        <v>1379000</v>
      </c>
      <c r="N745" s="472">
        <f>SUM(N746:N758)</f>
        <v>874000</v>
      </c>
      <c r="O745" s="466">
        <f t="shared" si="159"/>
        <v>874000</v>
      </c>
      <c r="P745" s="472"/>
      <c r="Q745" s="622"/>
    </row>
    <row r="746" spans="1:17" ht="16.5">
      <c r="A746" s="173"/>
      <c r="B746" s="174"/>
      <c r="C746" s="170" t="s">
        <v>1117</v>
      </c>
      <c r="D746" s="490"/>
      <c r="E746" s="488">
        <v>40000</v>
      </c>
      <c r="F746" s="488">
        <f t="shared" si="167"/>
        <v>40000</v>
      </c>
      <c r="G746" s="484">
        <f t="shared" ref="G746:G763" si="172">H746+I746</f>
        <v>40000</v>
      </c>
      <c r="H746" s="488">
        <v>30000</v>
      </c>
      <c r="I746" s="488">
        <v>10000</v>
      </c>
      <c r="J746" s="488"/>
      <c r="K746" s="488"/>
      <c r="L746" s="490"/>
      <c r="M746" s="488">
        <v>150000</v>
      </c>
      <c r="N746" s="488">
        <v>100000</v>
      </c>
      <c r="O746" s="470">
        <f t="shared" si="159"/>
        <v>100000</v>
      </c>
      <c r="P746" s="488"/>
      <c r="Q746" s="622"/>
    </row>
    <row r="747" spans="1:17" ht="16.5">
      <c r="A747" s="173"/>
      <c r="B747" s="174"/>
      <c r="C747" s="222" t="s">
        <v>425</v>
      </c>
      <c r="D747" s="490"/>
      <c r="E747" s="488">
        <v>24000</v>
      </c>
      <c r="F747" s="488">
        <f t="shared" si="167"/>
        <v>24000</v>
      </c>
      <c r="G747" s="484">
        <f t="shared" si="172"/>
        <v>24000</v>
      </c>
      <c r="H747" s="488">
        <v>24000</v>
      </c>
      <c r="I747" s="488"/>
      <c r="J747" s="488"/>
      <c r="K747" s="488"/>
      <c r="L747" s="490"/>
      <c r="M747" s="488">
        <v>24000</v>
      </c>
      <c r="N747" s="488">
        <v>24000</v>
      </c>
      <c r="O747" s="470">
        <f t="shared" si="159"/>
        <v>24000</v>
      </c>
      <c r="P747" s="488"/>
      <c r="Q747" s="622"/>
    </row>
    <row r="748" spans="1:17" ht="16.5">
      <c r="A748" s="173"/>
      <c r="B748" s="174"/>
      <c r="C748" s="222" t="s">
        <v>1118</v>
      </c>
      <c r="D748" s="490"/>
      <c r="E748" s="488"/>
      <c r="F748" s="488">
        <f t="shared" si="167"/>
        <v>16640</v>
      </c>
      <c r="G748" s="484"/>
      <c r="H748" s="488"/>
      <c r="I748" s="488"/>
      <c r="J748" s="521">
        <v>16640</v>
      </c>
      <c r="K748" s="521"/>
      <c r="L748" s="525"/>
      <c r="M748" s="521">
        <v>20000</v>
      </c>
      <c r="N748" s="521">
        <v>20000</v>
      </c>
      <c r="O748" s="470">
        <f t="shared" ref="O748:O780" si="173">N748</f>
        <v>20000</v>
      </c>
      <c r="P748" s="488"/>
      <c r="Q748" s="651"/>
    </row>
    <row r="749" spans="1:17" ht="25.5">
      <c r="A749" s="173"/>
      <c r="B749" s="174"/>
      <c r="C749" s="222" t="s">
        <v>1119</v>
      </c>
      <c r="D749" s="490"/>
      <c r="E749" s="488"/>
      <c r="F749" s="488">
        <f t="shared" si="167"/>
        <v>0</v>
      </c>
      <c r="G749" s="484"/>
      <c r="H749" s="488"/>
      <c r="I749" s="488"/>
      <c r="J749" s="521"/>
      <c r="K749" s="521"/>
      <c r="L749" s="525"/>
      <c r="M749" s="521">
        <v>30000</v>
      </c>
      <c r="N749" s="521">
        <v>20000</v>
      </c>
      <c r="O749" s="470">
        <f t="shared" si="173"/>
        <v>20000</v>
      </c>
      <c r="P749" s="488"/>
      <c r="Q749" s="651" t="s">
        <v>1120</v>
      </c>
    </row>
    <row r="750" spans="1:17" ht="16.5">
      <c r="A750" s="173"/>
      <c r="B750" s="174"/>
      <c r="C750" s="222" t="s">
        <v>1121</v>
      </c>
      <c r="D750" s="490"/>
      <c r="E750" s="488"/>
      <c r="F750" s="488">
        <f t="shared" si="167"/>
        <v>0</v>
      </c>
      <c r="G750" s="484"/>
      <c r="H750" s="488"/>
      <c r="I750" s="488"/>
      <c r="J750" s="521"/>
      <c r="K750" s="521"/>
      <c r="L750" s="525"/>
      <c r="M750" s="521">
        <v>120000</v>
      </c>
      <c r="N750" s="521">
        <v>120000</v>
      </c>
      <c r="O750" s="470">
        <f t="shared" si="173"/>
        <v>120000</v>
      </c>
      <c r="P750" s="488"/>
      <c r="Q750" s="652"/>
    </row>
    <row r="751" spans="1:17" ht="16.5">
      <c r="A751" s="173"/>
      <c r="B751" s="174"/>
      <c r="C751" s="222" t="s">
        <v>1122</v>
      </c>
      <c r="D751" s="490"/>
      <c r="E751" s="488"/>
      <c r="F751" s="488">
        <f t="shared" si="167"/>
        <v>0</v>
      </c>
      <c r="G751" s="484"/>
      <c r="H751" s="488"/>
      <c r="I751" s="488"/>
      <c r="J751" s="521"/>
      <c r="K751" s="521"/>
      <c r="L751" s="525"/>
      <c r="M751" s="521">
        <v>35000</v>
      </c>
      <c r="N751" s="521">
        <v>20000</v>
      </c>
      <c r="O751" s="470">
        <f t="shared" si="173"/>
        <v>20000</v>
      </c>
      <c r="P751" s="488"/>
      <c r="Q751" s="652"/>
    </row>
    <row r="752" spans="1:17" ht="16.5">
      <c r="A752" s="173"/>
      <c r="B752" s="174"/>
      <c r="C752" s="222" t="s">
        <v>1123</v>
      </c>
      <c r="D752" s="490"/>
      <c r="E752" s="488"/>
      <c r="F752" s="488">
        <f t="shared" si="167"/>
        <v>0</v>
      </c>
      <c r="G752" s="484"/>
      <c r="H752" s="488"/>
      <c r="I752" s="488"/>
      <c r="J752" s="521"/>
      <c r="K752" s="521"/>
      <c r="L752" s="525"/>
      <c r="M752" s="521">
        <v>55000</v>
      </c>
      <c r="N752" s="521">
        <v>30000</v>
      </c>
      <c r="O752" s="470">
        <f t="shared" si="173"/>
        <v>30000</v>
      </c>
      <c r="P752" s="488"/>
      <c r="Q752" s="652"/>
    </row>
    <row r="753" spans="1:18" ht="16.5">
      <c r="A753" s="173"/>
      <c r="B753" s="174"/>
      <c r="C753" s="222" t="s">
        <v>1124</v>
      </c>
      <c r="D753" s="490"/>
      <c r="E753" s="488"/>
      <c r="F753" s="488">
        <f t="shared" si="167"/>
        <v>0</v>
      </c>
      <c r="G753" s="484"/>
      <c r="H753" s="488"/>
      <c r="I753" s="488"/>
      <c r="J753" s="521"/>
      <c r="K753" s="521"/>
      <c r="L753" s="525"/>
      <c r="M753" s="521">
        <v>35000</v>
      </c>
      <c r="N753" s="521">
        <v>20000</v>
      </c>
      <c r="O753" s="470">
        <f t="shared" si="173"/>
        <v>20000</v>
      </c>
      <c r="P753" s="488"/>
      <c r="Q753" s="652"/>
    </row>
    <row r="754" spans="1:18" ht="16.5">
      <c r="A754" s="173"/>
      <c r="B754" s="174"/>
      <c r="C754" s="222" t="s">
        <v>1125</v>
      </c>
      <c r="D754" s="490"/>
      <c r="E754" s="488"/>
      <c r="F754" s="488">
        <f t="shared" si="167"/>
        <v>0</v>
      </c>
      <c r="G754" s="484"/>
      <c r="H754" s="488"/>
      <c r="I754" s="488"/>
      <c r="J754" s="521"/>
      <c r="K754" s="521"/>
      <c r="L754" s="525"/>
      <c r="M754" s="521">
        <v>120000</v>
      </c>
      <c r="N754" s="521">
        <v>100000</v>
      </c>
      <c r="O754" s="470">
        <f t="shared" si="173"/>
        <v>100000</v>
      </c>
      <c r="P754" s="488"/>
      <c r="Q754" s="652"/>
    </row>
    <row r="755" spans="1:18" ht="16.5">
      <c r="A755" s="173"/>
      <c r="B755" s="174"/>
      <c r="C755" s="222" t="s">
        <v>1126</v>
      </c>
      <c r="D755" s="490"/>
      <c r="E755" s="488"/>
      <c r="F755" s="488">
        <f t="shared" si="167"/>
        <v>0</v>
      </c>
      <c r="G755" s="484"/>
      <c r="H755" s="488"/>
      <c r="I755" s="488"/>
      <c r="J755" s="521"/>
      <c r="K755" s="521"/>
      <c r="L755" s="525"/>
      <c r="M755" s="521">
        <v>20000</v>
      </c>
      <c r="N755" s="521">
        <v>20000</v>
      </c>
      <c r="O755" s="470">
        <f t="shared" si="173"/>
        <v>20000</v>
      </c>
      <c r="P755" s="488"/>
      <c r="Q755" s="652"/>
    </row>
    <row r="756" spans="1:18" ht="16.5">
      <c r="A756" s="173"/>
      <c r="B756" s="174"/>
      <c r="C756" s="222" t="s">
        <v>1127</v>
      </c>
      <c r="D756" s="490"/>
      <c r="E756" s="488"/>
      <c r="F756" s="488">
        <f t="shared" si="167"/>
        <v>0</v>
      </c>
      <c r="G756" s="484"/>
      <c r="H756" s="488"/>
      <c r="I756" s="488"/>
      <c r="J756" s="521"/>
      <c r="K756" s="521"/>
      <c r="L756" s="525"/>
      <c r="M756" s="521">
        <v>120000</v>
      </c>
      <c r="N756" s="521">
        <v>100000</v>
      </c>
      <c r="O756" s="470">
        <f t="shared" si="173"/>
        <v>100000</v>
      </c>
      <c r="P756" s="488"/>
      <c r="Q756" s="652"/>
    </row>
    <row r="757" spans="1:18" ht="25.5">
      <c r="A757" s="173"/>
      <c r="B757" s="174"/>
      <c r="C757" s="222" t="s">
        <v>1128</v>
      </c>
      <c r="D757" s="490"/>
      <c r="E757" s="488"/>
      <c r="F757" s="488">
        <f t="shared" si="167"/>
        <v>0</v>
      </c>
      <c r="G757" s="484"/>
      <c r="H757" s="488"/>
      <c r="I757" s="488"/>
      <c r="J757" s="521"/>
      <c r="K757" s="521"/>
      <c r="L757" s="525"/>
      <c r="M757" s="521">
        <v>150000</v>
      </c>
      <c r="N757" s="521">
        <v>100000</v>
      </c>
      <c r="O757" s="470">
        <f t="shared" si="173"/>
        <v>100000</v>
      </c>
      <c r="P757" s="488"/>
      <c r="Q757" s="651" t="s">
        <v>1129</v>
      </c>
    </row>
    <row r="758" spans="1:18" ht="25.5">
      <c r="A758" s="173"/>
      <c r="B758" s="174"/>
      <c r="C758" s="222" t="s">
        <v>1130</v>
      </c>
      <c r="D758" s="490"/>
      <c r="E758" s="488"/>
      <c r="F758" s="488">
        <f t="shared" si="167"/>
        <v>0</v>
      </c>
      <c r="G758" s="484"/>
      <c r="H758" s="488"/>
      <c r="I758" s="488"/>
      <c r="J758" s="521"/>
      <c r="K758" s="521"/>
      <c r="L758" s="525"/>
      <c r="M758" s="521">
        <v>500000</v>
      </c>
      <c r="N758" s="521">
        <v>200000</v>
      </c>
      <c r="O758" s="470">
        <f t="shared" si="173"/>
        <v>200000</v>
      </c>
      <c r="P758" s="488"/>
      <c r="Q758" s="651" t="s">
        <v>1131</v>
      </c>
    </row>
    <row r="759" spans="1:18" ht="16.5">
      <c r="A759" s="171" t="s">
        <v>357</v>
      </c>
      <c r="B759" s="174"/>
      <c r="C759" s="316" t="s">
        <v>1180</v>
      </c>
      <c r="D759" s="490"/>
      <c r="E759" s="488"/>
      <c r="F759" s="491"/>
      <c r="G759" s="472"/>
      <c r="H759" s="491"/>
      <c r="I759" s="488"/>
      <c r="J759" s="488"/>
      <c r="K759" s="488"/>
      <c r="L759" s="490"/>
      <c r="M759" s="491">
        <v>4000000</v>
      </c>
      <c r="N759" s="491">
        <v>4000000</v>
      </c>
      <c r="O759" s="553">
        <f t="shared" si="173"/>
        <v>4000000</v>
      </c>
      <c r="P759" s="521"/>
      <c r="Q759" s="634"/>
    </row>
    <row r="760" spans="1:18" ht="66" customHeight="1">
      <c r="A760" s="171" t="s">
        <v>152</v>
      </c>
      <c r="B760" s="174"/>
      <c r="C760" s="318" t="s">
        <v>1132</v>
      </c>
      <c r="D760" s="490"/>
      <c r="E760" s="491">
        <v>190000</v>
      </c>
      <c r="F760" s="491">
        <f t="shared" si="167"/>
        <v>190000</v>
      </c>
      <c r="G760" s="472">
        <f t="shared" si="172"/>
        <v>190000</v>
      </c>
      <c r="H760" s="491">
        <v>190000</v>
      </c>
      <c r="I760" s="491"/>
      <c r="J760" s="491"/>
      <c r="K760" s="491"/>
      <c r="L760" s="492"/>
      <c r="M760" s="491">
        <v>200000</v>
      </c>
      <c r="N760" s="491">
        <v>200000</v>
      </c>
      <c r="O760" s="466">
        <f t="shared" si="173"/>
        <v>200000</v>
      </c>
      <c r="P760" s="570"/>
      <c r="Q760" s="622"/>
    </row>
    <row r="761" spans="1:18" ht="16.5">
      <c r="A761" s="171" t="s">
        <v>154</v>
      </c>
      <c r="B761" s="174"/>
      <c r="C761" s="169" t="s">
        <v>153</v>
      </c>
      <c r="D761" s="490"/>
      <c r="E761" s="491">
        <v>2500000</v>
      </c>
      <c r="F761" s="491">
        <f t="shared" ref="F761:F781" si="174">G761+J761</f>
        <v>2500000</v>
      </c>
      <c r="G761" s="472">
        <f>H761+I761</f>
        <v>2500000</v>
      </c>
      <c r="H761" s="491">
        <v>1500000</v>
      </c>
      <c r="I761" s="491">
        <v>1000000</v>
      </c>
      <c r="J761" s="491"/>
      <c r="K761" s="491"/>
      <c r="L761" s="492"/>
      <c r="M761" s="491">
        <v>1500000</v>
      </c>
      <c r="N761" s="491">
        <v>1500000</v>
      </c>
      <c r="O761" s="466">
        <v>1500000</v>
      </c>
      <c r="P761" s="491"/>
      <c r="Q761" s="622"/>
      <c r="R761" s="116">
        <v>1000000</v>
      </c>
    </row>
    <row r="762" spans="1:18" ht="15" customHeight="1">
      <c r="A762" s="171" t="s">
        <v>156</v>
      </c>
      <c r="B762" s="174"/>
      <c r="C762" s="169" t="s">
        <v>155</v>
      </c>
      <c r="D762" s="490"/>
      <c r="E762" s="491" t="e">
        <f>E763+#REF!</f>
        <v>#REF!</v>
      </c>
      <c r="F762" s="491" t="e">
        <f>G762+J762</f>
        <v>#REF!</v>
      </c>
      <c r="G762" s="472" t="e">
        <f>H762+I762</f>
        <v>#REF!</v>
      </c>
      <c r="H762" s="491" t="e">
        <f>H763+#REF!</f>
        <v>#REF!</v>
      </c>
      <c r="I762" s="491" t="e">
        <f>I763+#REF!</f>
        <v>#REF!</v>
      </c>
      <c r="J762" s="491"/>
      <c r="K762" s="491"/>
      <c r="L762" s="492"/>
      <c r="M762" s="491">
        <v>1790400</v>
      </c>
      <c r="N762" s="491">
        <v>1790400</v>
      </c>
      <c r="O762" s="466">
        <v>1790400</v>
      </c>
      <c r="P762" s="466">
        <f>P763</f>
        <v>0</v>
      </c>
      <c r="Q762" s="622"/>
      <c r="R762" s="116">
        <v>1000000</v>
      </c>
    </row>
    <row r="763" spans="1:18" ht="16.5" hidden="1">
      <c r="A763" s="171" t="s">
        <v>78</v>
      </c>
      <c r="B763" s="174"/>
      <c r="C763" s="169" t="s">
        <v>664</v>
      </c>
      <c r="D763" s="490"/>
      <c r="E763" s="491">
        <v>1500000</v>
      </c>
      <c r="F763" s="491">
        <f t="shared" si="174"/>
        <v>1546000</v>
      </c>
      <c r="G763" s="472">
        <f t="shared" si="172"/>
        <v>1546000</v>
      </c>
      <c r="H763" s="491">
        <v>1026000</v>
      </c>
      <c r="I763" s="491">
        <v>520000</v>
      </c>
      <c r="J763" s="491"/>
      <c r="K763" s="491"/>
      <c r="L763" s="492"/>
      <c r="M763" s="491">
        <v>2000000</v>
      </c>
      <c r="N763" s="491">
        <v>2000000</v>
      </c>
      <c r="O763" s="466">
        <v>2000000</v>
      </c>
      <c r="P763" s="491"/>
      <c r="Q763" s="622"/>
    </row>
    <row r="764" spans="1:18" ht="16.5">
      <c r="A764" s="171" t="s">
        <v>504</v>
      </c>
      <c r="B764" s="172"/>
      <c r="C764" s="169" t="s">
        <v>1133</v>
      </c>
      <c r="D764" s="490"/>
      <c r="E764" s="488"/>
      <c r="F764" s="488"/>
      <c r="G764" s="484"/>
      <c r="H764" s="488"/>
      <c r="I764" s="488"/>
      <c r="J764" s="488"/>
      <c r="K764" s="488"/>
      <c r="L764" s="490"/>
      <c r="M764" s="491">
        <f>SUM(M765:M775)</f>
        <v>3776440</v>
      </c>
      <c r="N764" s="491">
        <f>SUM(N765:N775)</f>
        <v>3420040</v>
      </c>
      <c r="O764" s="491">
        <f>SUM(O765:O775)</f>
        <v>3120040</v>
      </c>
      <c r="P764" s="491">
        <f t="shared" ref="P764" si="175">SUM(P765:P775)</f>
        <v>300000</v>
      </c>
      <c r="Q764" s="624" t="s">
        <v>1134</v>
      </c>
    </row>
    <row r="765" spans="1:18" ht="35.25" customHeight="1">
      <c r="A765" s="173">
        <v>1</v>
      </c>
      <c r="B765" s="172"/>
      <c r="C765" s="170" t="s">
        <v>314</v>
      </c>
      <c r="D765" s="490"/>
      <c r="E765" s="488"/>
      <c r="F765" s="488"/>
      <c r="G765" s="484"/>
      <c r="H765" s="488"/>
      <c r="I765" s="488"/>
      <c r="J765" s="488"/>
      <c r="K765" s="488"/>
      <c r="L765" s="490"/>
      <c r="M765" s="488">
        <v>500000</v>
      </c>
      <c r="N765" s="488">
        <v>500000</v>
      </c>
      <c r="O765" s="470">
        <v>300000</v>
      </c>
      <c r="P765" s="488">
        <v>200000</v>
      </c>
      <c r="Q765" s="357" t="s">
        <v>1135</v>
      </c>
    </row>
    <row r="766" spans="1:18" ht="42" customHeight="1">
      <c r="A766" s="173">
        <v>2</v>
      </c>
      <c r="B766" s="174"/>
      <c r="C766" s="170" t="s">
        <v>1136</v>
      </c>
      <c r="D766" s="490"/>
      <c r="E766" s="488"/>
      <c r="F766" s="488">
        <f t="shared" si="174"/>
        <v>0</v>
      </c>
      <c r="G766" s="484"/>
      <c r="H766" s="488"/>
      <c r="I766" s="488"/>
      <c r="J766" s="488"/>
      <c r="K766" s="488"/>
      <c r="L766" s="490"/>
      <c r="M766" s="488">
        <v>300000</v>
      </c>
      <c r="N766" s="488">
        <v>300000</v>
      </c>
      <c r="O766" s="470">
        <v>200000</v>
      </c>
      <c r="P766" s="488">
        <v>100000</v>
      </c>
      <c r="Q766" s="357" t="s">
        <v>1135</v>
      </c>
    </row>
    <row r="767" spans="1:18" ht="33.75" customHeight="1">
      <c r="A767" s="173">
        <v>3</v>
      </c>
      <c r="B767" s="174"/>
      <c r="C767" s="170" t="s">
        <v>1137</v>
      </c>
      <c r="D767" s="490"/>
      <c r="E767" s="488"/>
      <c r="F767" s="488">
        <f t="shared" si="174"/>
        <v>0</v>
      </c>
      <c r="G767" s="484"/>
      <c r="H767" s="488"/>
      <c r="I767" s="488"/>
      <c r="J767" s="488"/>
      <c r="K767" s="488"/>
      <c r="L767" s="490"/>
      <c r="M767" s="488">
        <v>390040</v>
      </c>
      <c r="N767" s="488">
        <f>300000+90040</f>
        <v>390040</v>
      </c>
      <c r="O767" s="470">
        <f t="shared" si="173"/>
        <v>390040</v>
      </c>
      <c r="P767" s="488"/>
      <c r="Q767" s="357" t="s">
        <v>1135</v>
      </c>
    </row>
    <row r="768" spans="1:18" ht="31.5" customHeight="1">
      <c r="A768" s="173">
        <v>4</v>
      </c>
      <c r="B768" s="174"/>
      <c r="C768" s="170" t="s">
        <v>1138</v>
      </c>
      <c r="D768" s="490"/>
      <c r="E768" s="488"/>
      <c r="F768" s="491"/>
      <c r="G768" s="484"/>
      <c r="H768" s="488"/>
      <c r="I768" s="488"/>
      <c r="J768" s="488"/>
      <c r="K768" s="488"/>
      <c r="L768" s="490"/>
      <c r="M768" s="488">
        <v>30000</v>
      </c>
      <c r="N768" s="488">
        <v>30000</v>
      </c>
      <c r="O768" s="470">
        <f t="shared" si="173"/>
        <v>30000</v>
      </c>
      <c r="P768" s="488"/>
      <c r="Q768" s="357" t="s">
        <v>1135</v>
      </c>
    </row>
    <row r="769" spans="1:18" ht="31.5" customHeight="1">
      <c r="A769" s="173">
        <v>5</v>
      </c>
      <c r="B769" s="174"/>
      <c r="C769" s="170" t="s">
        <v>1139</v>
      </c>
      <c r="D769" s="490"/>
      <c r="E769" s="488"/>
      <c r="F769" s="491"/>
      <c r="G769" s="484"/>
      <c r="H769" s="488"/>
      <c r="I769" s="488"/>
      <c r="J769" s="488"/>
      <c r="K769" s="488"/>
      <c r="L769" s="490"/>
      <c r="M769" s="488">
        <v>100000</v>
      </c>
      <c r="N769" s="488">
        <v>100000</v>
      </c>
      <c r="O769" s="470">
        <f t="shared" si="173"/>
        <v>100000</v>
      </c>
      <c r="P769" s="488"/>
      <c r="Q769" s="357" t="s">
        <v>1135</v>
      </c>
    </row>
    <row r="770" spans="1:18" ht="33" customHeight="1">
      <c r="A770" s="173">
        <v>6</v>
      </c>
      <c r="B770" s="174"/>
      <c r="C770" s="170" t="s">
        <v>1140</v>
      </c>
      <c r="D770" s="490"/>
      <c r="E770" s="488"/>
      <c r="F770" s="491"/>
      <c r="G770" s="484"/>
      <c r="H770" s="488"/>
      <c r="I770" s="488"/>
      <c r="J770" s="488"/>
      <c r="K770" s="488"/>
      <c r="L770" s="490"/>
      <c r="M770" s="488">
        <v>150000</v>
      </c>
      <c r="N770" s="488">
        <v>150000</v>
      </c>
      <c r="O770" s="470">
        <f t="shared" si="173"/>
        <v>150000</v>
      </c>
      <c r="P770" s="488"/>
      <c r="Q770" s="357" t="s">
        <v>1135</v>
      </c>
    </row>
    <row r="771" spans="1:18" ht="33.75" customHeight="1">
      <c r="A771" s="173">
        <v>7</v>
      </c>
      <c r="B771" s="174"/>
      <c r="C771" s="170" t="s">
        <v>1141</v>
      </c>
      <c r="D771" s="490"/>
      <c r="E771" s="488"/>
      <c r="F771" s="491"/>
      <c r="G771" s="484"/>
      <c r="H771" s="488"/>
      <c r="I771" s="488"/>
      <c r="J771" s="488"/>
      <c r="K771" s="488"/>
      <c r="L771" s="490"/>
      <c r="M771" s="488">
        <v>200000</v>
      </c>
      <c r="N771" s="488">
        <v>150000</v>
      </c>
      <c r="O771" s="470">
        <f t="shared" si="173"/>
        <v>150000</v>
      </c>
      <c r="P771" s="488"/>
      <c r="Q771" s="357" t="s">
        <v>1135</v>
      </c>
    </row>
    <row r="772" spans="1:18" ht="31.5" customHeight="1">
      <c r="A772" s="173">
        <v>8</v>
      </c>
      <c r="B772" s="174"/>
      <c r="C772" s="170" t="s">
        <v>1142</v>
      </c>
      <c r="D772" s="490"/>
      <c r="E772" s="488"/>
      <c r="F772" s="491"/>
      <c r="G772" s="484"/>
      <c r="H772" s="488"/>
      <c r="I772" s="488"/>
      <c r="J772" s="488"/>
      <c r="K772" s="488"/>
      <c r="L772" s="490"/>
      <c r="M772" s="488">
        <v>1200000</v>
      </c>
      <c r="N772" s="488">
        <v>1200000</v>
      </c>
      <c r="O772" s="470">
        <v>1200000</v>
      </c>
      <c r="P772" s="488"/>
      <c r="Q772" s="357" t="s">
        <v>1135</v>
      </c>
    </row>
    <row r="773" spans="1:18" ht="33.75" customHeight="1">
      <c r="A773" s="173">
        <v>9</v>
      </c>
      <c r="B773" s="174"/>
      <c r="C773" s="170" t="s">
        <v>1143</v>
      </c>
      <c r="D773" s="490"/>
      <c r="E773" s="488"/>
      <c r="F773" s="491"/>
      <c r="G773" s="484"/>
      <c r="H773" s="488"/>
      <c r="I773" s="488"/>
      <c r="J773" s="488"/>
      <c r="K773" s="488"/>
      <c r="L773" s="490"/>
      <c r="M773" s="488">
        <v>606400</v>
      </c>
      <c r="N773" s="488">
        <v>300000</v>
      </c>
      <c r="O773" s="470">
        <v>300000</v>
      </c>
      <c r="P773" s="488"/>
      <c r="Q773" s="357" t="s">
        <v>1135</v>
      </c>
      <c r="R773" s="116">
        <v>200000</v>
      </c>
    </row>
    <row r="774" spans="1:18" ht="30.75" customHeight="1">
      <c r="A774" s="173">
        <v>10</v>
      </c>
      <c r="B774" s="174"/>
      <c r="C774" s="170" t="s">
        <v>1144</v>
      </c>
      <c r="D774" s="490"/>
      <c r="E774" s="488"/>
      <c r="F774" s="491"/>
      <c r="G774" s="484"/>
      <c r="H774" s="488"/>
      <c r="I774" s="488"/>
      <c r="J774" s="488"/>
      <c r="K774" s="488"/>
      <c r="L774" s="490"/>
      <c r="M774" s="488">
        <v>100000</v>
      </c>
      <c r="N774" s="488">
        <v>100000</v>
      </c>
      <c r="O774" s="470">
        <f>N774</f>
        <v>100000</v>
      </c>
      <c r="P774" s="488"/>
      <c r="Q774" s="357" t="s">
        <v>1135</v>
      </c>
    </row>
    <row r="775" spans="1:18" ht="30.75" customHeight="1">
      <c r="A775" s="173">
        <v>11</v>
      </c>
      <c r="B775" s="174"/>
      <c r="C775" s="170" t="s">
        <v>1145</v>
      </c>
      <c r="D775" s="490"/>
      <c r="E775" s="488"/>
      <c r="F775" s="491"/>
      <c r="G775" s="484"/>
      <c r="H775" s="488"/>
      <c r="I775" s="488"/>
      <c r="J775" s="488"/>
      <c r="K775" s="488"/>
      <c r="L775" s="490"/>
      <c r="M775" s="488">
        <v>200000</v>
      </c>
      <c r="N775" s="488">
        <v>200000</v>
      </c>
      <c r="O775" s="470">
        <v>200000</v>
      </c>
      <c r="P775" s="488"/>
      <c r="Q775" s="357" t="s">
        <v>1135</v>
      </c>
    </row>
    <row r="776" spans="1:18" ht="16.5">
      <c r="A776" s="320" t="s">
        <v>527</v>
      </c>
      <c r="B776" s="319"/>
      <c r="C776" s="169" t="s">
        <v>503</v>
      </c>
      <c r="D776" s="490"/>
      <c r="E776" s="491">
        <v>3000000</v>
      </c>
      <c r="F776" s="491">
        <f t="shared" si="174"/>
        <v>3000000</v>
      </c>
      <c r="G776" s="472">
        <f>H776+I776</f>
        <v>3000000</v>
      </c>
      <c r="H776" s="491">
        <v>3000000</v>
      </c>
      <c r="I776" s="491"/>
      <c r="J776" s="491"/>
      <c r="K776" s="491"/>
      <c r="L776" s="492"/>
      <c r="M776" s="491">
        <v>2913000</v>
      </c>
      <c r="N776" s="491">
        <f>3000000-87000</f>
        <v>2913000</v>
      </c>
      <c r="O776" s="466">
        <f>1500000-159000-87000</f>
        <v>1254000</v>
      </c>
      <c r="P776" s="491">
        <f>1500000+159000</f>
        <v>1659000</v>
      </c>
      <c r="Q776" s="622"/>
      <c r="R776" s="116">
        <f>P776+O776</f>
        <v>2913000</v>
      </c>
    </row>
    <row r="777" spans="1:18" ht="16.5">
      <c r="A777" s="321" t="s">
        <v>649</v>
      </c>
      <c r="B777" s="319"/>
      <c r="C777" s="169" t="s">
        <v>648</v>
      </c>
      <c r="D777" s="490"/>
      <c r="E777" s="491">
        <v>25100000</v>
      </c>
      <c r="F777" s="491">
        <f t="shared" si="174"/>
        <v>25100000</v>
      </c>
      <c r="G777" s="472">
        <f>H777+I777</f>
        <v>25100000</v>
      </c>
      <c r="H777" s="491">
        <v>25100000</v>
      </c>
      <c r="I777" s="491"/>
      <c r="J777" s="491"/>
      <c r="K777" s="491"/>
      <c r="L777" s="492"/>
      <c r="M777" s="491">
        <v>30850000</v>
      </c>
      <c r="N777" s="491">
        <v>30850000</v>
      </c>
      <c r="O777" s="466">
        <f>N777</f>
        <v>30850000</v>
      </c>
      <c r="P777" s="491"/>
      <c r="Q777" s="622"/>
    </row>
    <row r="778" spans="1:18" ht="16.5">
      <c r="A778" s="198" t="s">
        <v>596</v>
      </c>
      <c r="B778" s="174"/>
      <c r="C778" s="169" t="s">
        <v>1146</v>
      </c>
      <c r="D778" s="490"/>
      <c r="E778" s="491">
        <v>100000</v>
      </c>
      <c r="F778" s="491">
        <f t="shared" si="174"/>
        <v>40000</v>
      </c>
      <c r="G778" s="472">
        <f t="shared" ref="G778" si="176">H778+I778</f>
        <v>40000</v>
      </c>
      <c r="H778" s="491">
        <v>40000</v>
      </c>
      <c r="I778" s="491"/>
      <c r="J778" s="491"/>
      <c r="K778" s="491"/>
      <c r="L778" s="492"/>
      <c r="M778" s="491">
        <v>40000</v>
      </c>
      <c r="N778" s="491">
        <v>40000</v>
      </c>
      <c r="O778" s="466">
        <f t="shared" si="173"/>
        <v>40000</v>
      </c>
      <c r="P778" s="491"/>
      <c r="Q778" s="622"/>
    </row>
    <row r="779" spans="1:18" ht="16.5">
      <c r="A779" s="198" t="s">
        <v>66</v>
      </c>
      <c r="B779" s="174"/>
      <c r="C779" s="169" t="s">
        <v>595</v>
      </c>
      <c r="D779" s="490"/>
      <c r="E779" s="491">
        <v>250000</v>
      </c>
      <c r="F779" s="570">
        <f t="shared" si="174"/>
        <v>250000</v>
      </c>
      <c r="G779" s="472">
        <f>H779+I779</f>
        <v>250000</v>
      </c>
      <c r="H779" s="491">
        <v>250000</v>
      </c>
      <c r="I779" s="491"/>
      <c r="J779" s="491"/>
      <c r="K779" s="491"/>
      <c r="L779" s="492"/>
      <c r="M779" s="491">
        <v>250000</v>
      </c>
      <c r="N779" s="491">
        <v>250000</v>
      </c>
      <c r="O779" s="466">
        <f t="shared" si="173"/>
        <v>250000</v>
      </c>
      <c r="P779" s="491"/>
      <c r="Q779" s="634"/>
    </row>
    <row r="780" spans="1:18" ht="16.5">
      <c r="A780" s="198" t="s">
        <v>67</v>
      </c>
      <c r="B780" s="174"/>
      <c r="C780" s="169" t="s">
        <v>195</v>
      </c>
      <c r="D780" s="490"/>
      <c r="E780" s="491">
        <v>200000</v>
      </c>
      <c r="F780" s="571">
        <f t="shared" si="174"/>
        <v>200000</v>
      </c>
      <c r="G780" s="472">
        <f>H780+I780</f>
        <v>200000</v>
      </c>
      <c r="H780" s="491">
        <v>50000</v>
      </c>
      <c r="I780" s="491">
        <v>150000</v>
      </c>
      <c r="J780" s="491"/>
      <c r="K780" s="491"/>
      <c r="L780" s="492"/>
      <c r="M780" s="491">
        <v>250000</v>
      </c>
      <c r="N780" s="491">
        <v>250000</v>
      </c>
      <c r="O780" s="553">
        <f t="shared" si="173"/>
        <v>250000</v>
      </c>
      <c r="P780" s="491"/>
      <c r="Q780" s="23"/>
    </row>
    <row r="781" spans="1:18" ht="16.5">
      <c r="A781" s="343"/>
      <c r="B781" s="323"/>
      <c r="C781" s="324" t="s">
        <v>55</v>
      </c>
      <c r="D781" s="572"/>
      <c r="E781" s="573" t="e">
        <f>(E15+E388+E502+E528+#REF!+E615+E657+E726+E760+E761+E762+E776+E777+E778+E779+E780+#REF!+#REF!+#REF!+E499)</f>
        <v>#REF!</v>
      </c>
      <c r="F781" s="608" t="e">
        <f t="shared" si="174"/>
        <v>#REF!</v>
      </c>
      <c r="G781" s="573" t="e">
        <f>(G15+G388+G502+G528+#REF!+G615+G657+G726+G760+G761+G762+G776+G777+G778+G779+G780+#REF!+#REF!+#REF!+G499+G759)</f>
        <v>#REF!</v>
      </c>
      <c r="H781" s="573" t="e">
        <f>(H15+H388+H502+H528+#REF!+H615+H657+H726+H760+H761+H762+H776+H777+H778+H779+H780+#REF!+#REF!+#REF!+H499+H759)</f>
        <v>#REF!</v>
      </c>
      <c r="I781" s="573" t="e">
        <f>(I15+I388+I502+I528+#REF!+I615+I657+I726+I760+I761+I762+I776+I777+I778+I779+I780+#REF!+#REF!+#REF!+I499+I759)</f>
        <v>#REF!</v>
      </c>
      <c r="J781" s="573" t="e">
        <f>(J15+J388+J502+J528+#REF!+J615+J657+J726+J760+J761+J762+J776+J777+J778+J779+J780+#REF!+#REF!+#REF!+J499+J759)</f>
        <v>#REF!</v>
      </c>
      <c r="K781" s="573"/>
      <c r="L781" s="572"/>
      <c r="M781" s="573">
        <f>(M15+M388+M502+M528+M615+M657+M726+M760+M761+M762+M776+M777+M778+M779+M780+M499+M759+M764)</f>
        <v>251126054.22777274</v>
      </c>
      <c r="N781" s="573">
        <f>(N15+N388+N502+N528+N615+N657+N726+N760+N761+N762+N776+N777+N778+N779+N780+N499+N759+N764)</f>
        <v>246293000.22777274</v>
      </c>
      <c r="O781" s="573">
        <f>(O15+O388+O502+O528+O615+O657+O726+O760+O761+O762+O776+O777+O778+O779+O780+O499+O759+O764)</f>
        <v>243334000.22777274</v>
      </c>
      <c r="P781" s="573">
        <f>(P15+P388+P502+P528+P615+P657+P726+P760+P761+P762+P776+P777+P778+P779+P780+P499+P759+P764)</f>
        <v>2959000</v>
      </c>
      <c r="Q781" s="140"/>
      <c r="R781" s="116">
        <f>N781-N777-N776</f>
        <v>212530000.22777274</v>
      </c>
    </row>
    <row r="782" spans="1:18" ht="15.75">
      <c r="A782" s="380"/>
      <c r="B782" s="381"/>
      <c r="C782" s="382"/>
      <c r="D782" s="383"/>
      <c r="E782" s="383"/>
      <c r="F782" s="383"/>
      <c r="G782" s="383"/>
      <c r="H782" s="383"/>
      <c r="I782" s="383"/>
      <c r="J782" s="383"/>
      <c r="K782" s="383"/>
      <c r="L782" s="383"/>
      <c r="M782" s="383"/>
      <c r="N782" s="384"/>
      <c r="O782" s="384"/>
      <c r="P782" s="384"/>
      <c r="Q782" s="132"/>
    </row>
    <row r="783" spans="1:18" ht="15.75">
      <c r="A783" s="380"/>
      <c r="B783" s="381"/>
      <c r="C783" s="382"/>
      <c r="D783" s="383"/>
      <c r="E783" s="383"/>
      <c r="F783" s="383"/>
      <c r="G783" s="383"/>
      <c r="H783" s="383"/>
      <c r="I783" s="383"/>
      <c r="J783" s="383"/>
      <c r="K783" s="383"/>
      <c r="L783" s="383"/>
      <c r="M783" s="383"/>
      <c r="N783" s="383"/>
      <c r="O783" s="383"/>
      <c r="P783" s="383"/>
      <c r="Q783" s="132"/>
    </row>
    <row r="784" spans="1:18" ht="15.75">
      <c r="A784" s="380"/>
      <c r="B784" s="381"/>
      <c r="C784" s="382"/>
      <c r="D784" s="383"/>
      <c r="E784" s="383"/>
      <c r="F784" s="383"/>
      <c r="G784" s="383"/>
      <c r="H784" s="383"/>
      <c r="I784" s="383"/>
      <c r="J784" s="383"/>
      <c r="K784" s="383"/>
      <c r="L784" s="383"/>
      <c r="M784" s="383"/>
      <c r="N784" s="383"/>
      <c r="O784" s="383"/>
      <c r="P784" s="383"/>
      <c r="Q784" s="132"/>
    </row>
    <row r="785" spans="1:17" ht="15.75">
      <c r="A785" s="380"/>
      <c r="B785" s="381"/>
      <c r="C785" s="382"/>
      <c r="D785" s="383"/>
      <c r="E785" s="383"/>
      <c r="F785" s="383"/>
      <c r="G785" s="383"/>
      <c r="H785" s="383"/>
      <c r="I785" s="383"/>
      <c r="J785" s="383"/>
      <c r="K785" s="383"/>
      <c r="L785" s="383"/>
      <c r="M785" s="383"/>
      <c r="N785" s="383"/>
      <c r="O785" s="383"/>
      <c r="P785" s="383"/>
      <c r="Q785" s="132"/>
    </row>
    <row r="786" spans="1:17" ht="15.75">
      <c r="A786" s="380"/>
      <c r="B786" s="381"/>
      <c r="C786" s="382"/>
      <c r="D786" s="383"/>
      <c r="E786" s="383"/>
      <c r="F786" s="383"/>
      <c r="G786" s="383"/>
      <c r="H786" s="383"/>
      <c r="I786" s="383"/>
      <c r="J786" s="383"/>
      <c r="K786" s="383"/>
      <c r="L786" s="383"/>
      <c r="M786" s="383"/>
      <c r="N786" s="383"/>
      <c r="O786" s="383"/>
      <c r="P786" s="383"/>
      <c r="Q786" s="132"/>
    </row>
    <row r="787" spans="1:17" ht="15.75">
      <c r="A787" s="380"/>
      <c r="B787" s="381"/>
      <c r="C787" s="382"/>
      <c r="D787" s="383"/>
      <c r="E787" s="383"/>
      <c r="F787" s="383"/>
      <c r="G787" s="383"/>
      <c r="H787" s="383"/>
      <c r="I787" s="383"/>
      <c r="J787" s="383"/>
      <c r="K787" s="383"/>
      <c r="L787" s="383"/>
      <c r="M787" s="383"/>
      <c r="N787" s="383"/>
      <c r="O787" s="383"/>
      <c r="P787" s="383"/>
      <c r="Q787" s="132"/>
    </row>
    <row r="788" spans="1:17" ht="15.75">
      <c r="A788" s="380"/>
      <c r="B788" s="381"/>
      <c r="C788" s="382"/>
      <c r="D788" s="383"/>
      <c r="E788" s="383"/>
      <c r="F788" s="383"/>
      <c r="G788" s="383"/>
      <c r="H788" s="383"/>
      <c r="I788" s="383"/>
      <c r="J788" s="383"/>
      <c r="K788" s="383"/>
      <c r="L788" s="383"/>
      <c r="M788" s="383"/>
      <c r="N788" s="383"/>
      <c r="O788" s="383"/>
      <c r="P788" s="383"/>
      <c r="Q788" s="132"/>
    </row>
    <row r="789" spans="1:17" ht="15.75">
      <c r="A789" s="380"/>
      <c r="B789" s="381"/>
      <c r="C789" s="382"/>
      <c r="D789" s="383"/>
      <c r="E789" s="383"/>
      <c r="F789" s="383"/>
      <c r="G789" s="383"/>
      <c r="H789" s="383"/>
      <c r="I789" s="383"/>
      <c r="J789" s="383"/>
      <c r="K789" s="383"/>
      <c r="L789" s="383"/>
      <c r="M789" s="383"/>
      <c r="N789" s="383"/>
      <c r="O789" s="383"/>
      <c r="P789" s="383"/>
      <c r="Q789" s="132"/>
    </row>
    <row r="790" spans="1:17" ht="15.75">
      <c r="A790" s="380"/>
      <c r="B790" s="381"/>
      <c r="C790" s="382"/>
      <c r="D790" s="383"/>
      <c r="E790" s="383"/>
      <c r="F790" s="383"/>
      <c r="G790" s="383"/>
      <c r="H790" s="383"/>
      <c r="I790" s="383"/>
      <c r="J790" s="383"/>
      <c r="K790" s="383"/>
      <c r="L790" s="383"/>
      <c r="M790" s="383"/>
      <c r="N790" s="383"/>
      <c r="O790" s="383"/>
      <c r="P790" s="383"/>
      <c r="Q790" s="132"/>
    </row>
    <row r="791" spans="1:17" ht="15.75">
      <c r="A791" s="380"/>
      <c r="B791" s="381"/>
      <c r="C791" s="382"/>
      <c r="D791" s="383"/>
      <c r="E791" s="383"/>
      <c r="F791" s="383"/>
      <c r="G791" s="383"/>
      <c r="H791" s="383"/>
      <c r="I791" s="383"/>
      <c r="J791" s="383"/>
      <c r="K791" s="383"/>
      <c r="L791" s="383"/>
      <c r="M791" s="383"/>
      <c r="N791" s="383"/>
      <c r="O791" s="383"/>
      <c r="P791" s="383"/>
      <c r="Q791" s="132"/>
    </row>
    <row r="792" spans="1:17" ht="15.75">
      <c r="A792" s="380"/>
      <c r="B792" s="381"/>
      <c r="C792" s="382"/>
      <c r="D792" s="383"/>
      <c r="E792" s="383"/>
      <c r="F792" s="383"/>
      <c r="G792" s="383"/>
      <c r="H792" s="383"/>
      <c r="I792" s="383"/>
      <c r="J792" s="383"/>
      <c r="K792" s="383"/>
      <c r="L792" s="383"/>
      <c r="M792" s="383"/>
      <c r="N792" s="383"/>
      <c r="O792" s="383"/>
      <c r="P792" s="383"/>
      <c r="Q792" s="132"/>
    </row>
    <row r="793" spans="1:17" ht="15.75">
      <c r="A793" s="380"/>
      <c r="B793" s="381"/>
      <c r="C793" s="382"/>
      <c r="D793" s="383"/>
      <c r="E793" s="383"/>
      <c r="F793" s="383"/>
      <c r="G793" s="383"/>
      <c r="H793" s="383"/>
      <c r="I793" s="383"/>
      <c r="J793" s="383"/>
      <c r="K793" s="383"/>
      <c r="L793" s="383"/>
      <c r="M793" s="383"/>
      <c r="N793" s="383"/>
      <c r="O793" s="383"/>
      <c r="P793" s="383"/>
      <c r="Q793" s="132"/>
    </row>
    <row r="794" spans="1:17" ht="15.75">
      <c r="A794" s="380"/>
      <c r="B794" s="381"/>
      <c r="C794" s="382"/>
      <c r="D794" s="383"/>
      <c r="E794" s="383"/>
      <c r="F794" s="383"/>
      <c r="G794" s="383"/>
      <c r="H794" s="383"/>
      <c r="I794" s="383"/>
      <c r="J794" s="383"/>
      <c r="K794" s="383"/>
      <c r="L794" s="383"/>
      <c r="M794" s="383"/>
      <c r="N794" s="383"/>
      <c r="O794" s="383"/>
      <c r="P794" s="383"/>
      <c r="Q794" s="132"/>
    </row>
    <row r="795" spans="1:17" ht="15.75">
      <c r="A795" s="380"/>
      <c r="B795" s="381"/>
      <c r="C795" s="382"/>
      <c r="D795" s="383"/>
      <c r="E795" s="383"/>
      <c r="F795" s="383"/>
      <c r="G795" s="383"/>
      <c r="H795" s="383"/>
      <c r="I795" s="383"/>
      <c r="J795" s="383"/>
      <c r="K795" s="383"/>
      <c r="L795" s="383"/>
      <c r="M795" s="383"/>
      <c r="N795" s="383"/>
      <c r="O795" s="383"/>
      <c r="P795" s="383"/>
      <c r="Q795" s="132"/>
    </row>
    <row r="796" spans="1:17" ht="15.75">
      <c r="A796" s="380"/>
      <c r="B796" s="381"/>
      <c r="C796" s="382"/>
      <c r="D796" s="383"/>
      <c r="E796" s="383"/>
      <c r="F796" s="383"/>
      <c r="G796" s="383"/>
      <c r="H796" s="383"/>
      <c r="I796" s="383"/>
      <c r="J796" s="383"/>
      <c r="K796" s="383"/>
      <c r="L796" s="383"/>
      <c r="M796" s="383"/>
      <c r="N796" s="383"/>
      <c r="O796" s="383"/>
      <c r="P796" s="383"/>
      <c r="Q796" s="132"/>
    </row>
    <row r="797" spans="1:17" ht="15.75">
      <c r="A797" s="380"/>
      <c r="B797" s="381"/>
      <c r="C797" s="382"/>
      <c r="D797" s="383"/>
      <c r="E797" s="383"/>
      <c r="F797" s="383"/>
      <c r="G797" s="383"/>
      <c r="H797" s="383"/>
      <c r="I797" s="383"/>
      <c r="J797" s="383"/>
      <c r="K797" s="383"/>
      <c r="L797" s="383"/>
      <c r="M797" s="383"/>
      <c r="N797" s="383"/>
      <c r="O797" s="383"/>
      <c r="P797" s="383"/>
      <c r="Q797" s="132"/>
    </row>
    <row r="798" spans="1:17" ht="15.75">
      <c r="A798" s="380"/>
      <c r="B798" s="381"/>
      <c r="C798" s="382"/>
      <c r="D798" s="383"/>
      <c r="E798" s="383"/>
      <c r="F798" s="383"/>
      <c r="G798" s="383"/>
      <c r="H798" s="383"/>
      <c r="I798" s="383"/>
      <c r="J798" s="383"/>
      <c r="K798" s="383"/>
      <c r="L798" s="383"/>
      <c r="M798" s="383"/>
      <c r="N798" s="383"/>
      <c r="O798" s="383"/>
      <c r="P798" s="383"/>
      <c r="Q798" s="132"/>
    </row>
    <row r="799" spans="1:17" ht="15.75">
      <c r="A799" s="380"/>
      <c r="B799" s="381"/>
      <c r="C799" s="382"/>
      <c r="D799" s="383"/>
      <c r="E799" s="383"/>
      <c r="F799" s="383"/>
      <c r="G799" s="383"/>
      <c r="H799" s="383"/>
      <c r="I799" s="383"/>
      <c r="J799" s="383"/>
      <c r="K799" s="383"/>
      <c r="L799" s="383"/>
      <c r="M799" s="383"/>
      <c r="N799" s="383"/>
      <c r="O799" s="383"/>
      <c r="P799" s="383"/>
      <c r="Q799" s="132"/>
    </row>
    <row r="800" spans="1:17" ht="15.75">
      <c r="A800" s="380"/>
      <c r="B800" s="381"/>
      <c r="C800" s="382"/>
      <c r="D800" s="383"/>
      <c r="E800" s="383"/>
      <c r="F800" s="383"/>
      <c r="G800" s="383"/>
      <c r="H800" s="383"/>
      <c r="I800" s="383"/>
      <c r="J800" s="383"/>
      <c r="K800" s="383"/>
      <c r="L800" s="383"/>
      <c r="M800" s="383"/>
      <c r="N800" s="383"/>
      <c r="O800" s="383"/>
      <c r="P800" s="383"/>
      <c r="Q800" s="132"/>
    </row>
    <row r="801" spans="1:18" ht="15.75">
      <c r="A801" s="1196" t="s">
        <v>315</v>
      </c>
      <c r="B801" s="1196"/>
      <c r="C801" s="1196"/>
      <c r="R801" s="116" t="e">
        <f>H781+I781</f>
        <v>#REF!</v>
      </c>
    </row>
    <row r="802" spans="1:18" ht="15.75">
      <c r="A802" s="1197" t="s">
        <v>316</v>
      </c>
      <c r="B802" s="1197"/>
      <c r="C802" s="1197"/>
      <c r="D802" s="1197"/>
      <c r="E802" s="1197"/>
      <c r="F802" s="1197"/>
      <c r="G802" s="1197"/>
      <c r="H802" s="1197"/>
      <c r="I802" s="1197"/>
      <c r="J802" s="1197"/>
      <c r="K802" s="1197"/>
      <c r="L802" s="1197"/>
      <c r="M802" s="1197"/>
      <c r="N802" s="1197"/>
      <c r="O802" s="1197"/>
      <c r="P802" s="1197"/>
      <c r="Q802" s="1197"/>
    </row>
    <row r="803" spans="1:18" ht="15.75">
      <c r="A803" s="1198" t="s">
        <v>317</v>
      </c>
      <c r="B803" s="1198"/>
      <c r="C803" s="1198"/>
      <c r="D803" s="1198"/>
      <c r="E803" s="1198"/>
      <c r="F803" s="1198"/>
      <c r="G803" s="1198"/>
      <c r="H803" s="1198"/>
      <c r="I803" s="1198"/>
      <c r="J803" s="1198"/>
      <c r="K803" s="1198"/>
      <c r="L803" s="1198"/>
      <c r="M803" s="1198"/>
      <c r="N803" s="1198"/>
      <c r="O803" s="1198"/>
      <c r="P803" s="1198"/>
      <c r="Q803" s="1198"/>
    </row>
    <row r="804" spans="1:18" ht="16.5">
      <c r="A804" s="1195" t="s">
        <v>615</v>
      </c>
      <c r="B804" s="1195"/>
      <c r="C804" s="1195"/>
      <c r="D804" s="1195"/>
      <c r="E804" s="1195"/>
      <c r="F804" s="1195"/>
      <c r="G804" s="1195"/>
      <c r="H804" s="1195"/>
      <c r="I804" s="1195"/>
      <c r="J804" s="1195"/>
      <c r="K804" s="1195"/>
      <c r="L804" s="1195"/>
      <c r="M804" s="1195"/>
      <c r="N804" s="1195"/>
      <c r="O804" s="1195"/>
      <c r="P804" s="1195"/>
      <c r="Q804" s="1195"/>
    </row>
    <row r="805" spans="1:18" ht="15.75">
      <c r="A805" s="179" t="s">
        <v>63</v>
      </c>
      <c r="B805" s="179"/>
    </row>
    <row r="806" spans="1:18" ht="15.75">
      <c r="A806" s="443"/>
      <c r="B806" s="180"/>
    </row>
    <row r="807" spans="1:18" ht="15.75">
      <c r="A807" s="443"/>
      <c r="B807" s="73"/>
    </row>
    <row r="808" spans="1:18" ht="15.75"/>
    <row r="809" spans="1:18" ht="15.75"/>
    <row r="810" spans="1:18" ht="15.75"/>
    <row r="811" spans="1:18" ht="15.75"/>
    <row r="812" spans="1:18" ht="15.75"/>
    <row r="813" spans="1:18" ht="15.75"/>
    <row r="814" spans="1:18" ht="15.75"/>
    <row r="815" spans="1:18" ht="15.75"/>
    <row r="816" spans="1:18" ht="15.75"/>
    <row r="817" ht="15.75"/>
    <row r="818" ht="15.75"/>
    <row r="819" ht="15.75"/>
    <row r="820" ht="15.75"/>
    <row r="821" ht="15.75"/>
    <row r="822" ht="15.75"/>
    <row r="823" ht="15.75"/>
    <row r="824" ht="15.75"/>
    <row r="825" ht="15.75"/>
    <row r="826" ht="15.75"/>
    <row r="827" ht="15.75"/>
    <row r="828" ht="15.75"/>
    <row r="829" ht="15.75"/>
    <row r="830" ht="15.75"/>
    <row r="831" ht="15.75"/>
    <row r="832" ht="15.75"/>
    <row r="833" spans="1:1" ht="15.75"/>
    <row r="834" spans="1:1" ht="15.75"/>
    <row r="835" spans="1:1" ht="15.75"/>
    <row r="836" spans="1:1" ht="15.75"/>
    <row r="837" spans="1:1" ht="15.75"/>
    <row r="838" spans="1:1" ht="15.75"/>
    <row r="839" spans="1:1" ht="15.75"/>
    <row r="840" spans="1:1" ht="15.75"/>
    <row r="841" spans="1:1" ht="15.75"/>
    <row r="842" spans="1:1" ht="15.75"/>
    <row r="843" spans="1:1" ht="15.75"/>
    <row r="844" spans="1:1" ht="15.75"/>
    <row r="845" spans="1:1" ht="15.75">
      <c r="A845" s="116"/>
    </row>
    <row r="846" spans="1:1" ht="15.75">
      <c r="A846" s="116"/>
    </row>
    <row r="847" spans="1:1" ht="15.75">
      <c r="A847" s="116"/>
    </row>
    <row r="848" spans="1:1" ht="15.75">
      <c r="A848" s="116"/>
    </row>
    <row r="849" spans="1:3" ht="15.75">
      <c r="A849" s="116"/>
    </row>
    <row r="850" spans="1:3" ht="15.75">
      <c r="A850" s="116"/>
    </row>
    <row r="851" spans="1:3" ht="15.75">
      <c r="A851" s="116"/>
    </row>
    <row r="852" spans="1:3" ht="15.75">
      <c r="A852" s="116"/>
    </row>
    <row r="853" spans="1:3" ht="15.75">
      <c r="A853" s="116"/>
      <c r="C853" s="118"/>
    </row>
    <row r="854" spans="1:3" ht="15.75">
      <c r="A854" s="116"/>
    </row>
    <row r="855" spans="1:3" ht="15.75">
      <c r="A855" s="116"/>
    </row>
    <row r="856" spans="1:3" ht="15.75">
      <c r="A856" s="116"/>
    </row>
    <row r="857" spans="1:3" ht="15.75">
      <c r="A857" s="116"/>
    </row>
    <row r="858" spans="1:3" ht="15.75">
      <c r="A858" s="116"/>
      <c r="C858" s="118"/>
    </row>
    <row r="859" spans="1:3" ht="15.75">
      <c r="A859" s="116"/>
    </row>
    <row r="860" spans="1:3" ht="15.75">
      <c r="A860" s="116"/>
    </row>
    <row r="861" spans="1:3" ht="15.75">
      <c r="A861" s="116"/>
    </row>
    <row r="862" spans="1:3" ht="15.75">
      <c r="A862" s="116"/>
    </row>
    <row r="863" spans="1:3" ht="15.75">
      <c r="A863" s="116"/>
    </row>
    <row r="864" spans="1:3" ht="15.75">
      <c r="A864" s="116"/>
      <c r="B864" s="118"/>
    </row>
    <row r="865" spans="1:2" ht="15.75">
      <c r="A865" s="116"/>
    </row>
    <row r="866" spans="1:2" ht="15.75">
      <c r="A866" s="116"/>
    </row>
    <row r="867" spans="1:2" ht="15.75">
      <c r="A867" s="116"/>
    </row>
    <row r="868" spans="1:2" ht="15.75">
      <c r="A868" s="116"/>
    </row>
    <row r="869" spans="1:2" ht="15.75">
      <c r="A869" s="116"/>
      <c r="B869" s="118"/>
    </row>
    <row r="870" spans="1:2" ht="15.75">
      <c r="A870" s="116"/>
    </row>
    <row r="871" spans="1:2" ht="15.75">
      <c r="A871" s="116"/>
    </row>
    <row r="872" spans="1:2" ht="15.75">
      <c r="A872" s="116"/>
    </row>
    <row r="873" spans="1:2" ht="15.75">
      <c r="A873" s="116"/>
    </row>
    <row r="874" spans="1:2" ht="15.75">
      <c r="A874" s="116"/>
    </row>
    <row r="875" spans="1:2" ht="15.75">
      <c r="A875" s="116"/>
    </row>
    <row r="876" spans="1:2" ht="15.75">
      <c r="A876" s="116"/>
    </row>
    <row r="877" spans="1:2" ht="15.75">
      <c r="A877" s="116"/>
    </row>
    <row r="878" spans="1:2" ht="15.75">
      <c r="A878" s="116"/>
    </row>
    <row r="879" spans="1:2" ht="15.75">
      <c r="A879" s="116"/>
    </row>
    <row r="880" spans="1:2" ht="15.75">
      <c r="A880" s="116"/>
    </row>
    <row r="881" spans="1:1" ht="15.75">
      <c r="A881" s="116"/>
    </row>
    <row r="882" spans="1:1" ht="15.75">
      <c r="A882" s="116"/>
    </row>
    <row r="883" spans="1:1" ht="15.75">
      <c r="A883" s="116"/>
    </row>
    <row r="884" spans="1:1" ht="15.75">
      <c r="A884" s="116"/>
    </row>
    <row r="885" spans="1:1" ht="15.75">
      <c r="A885" s="116"/>
    </row>
    <row r="886" spans="1:1" ht="15.75">
      <c r="A886" s="116"/>
    </row>
    <row r="887" spans="1:1" ht="15.75">
      <c r="A887" s="116"/>
    </row>
    <row r="888" spans="1:1" ht="15.75">
      <c r="A888" s="116"/>
    </row>
    <row r="889" spans="1:1" ht="15.75">
      <c r="A889" s="116"/>
    </row>
    <row r="890" spans="1:1" ht="15.75">
      <c r="A890" s="116"/>
    </row>
    <row r="891" spans="1:1" ht="15.75">
      <c r="A891" s="116"/>
    </row>
    <row r="892" spans="1:1" ht="15.75">
      <c r="A892" s="116"/>
    </row>
    <row r="893" spans="1:1" ht="15.75">
      <c r="A893" s="116"/>
    </row>
    <row r="894" spans="1:1" ht="15.75">
      <c r="A894" s="116"/>
    </row>
    <row r="895" spans="1:1" ht="15.75">
      <c r="A895" s="116"/>
    </row>
    <row r="896" spans="1:1" ht="15.75">
      <c r="A896" s="116"/>
    </row>
    <row r="897" spans="1:4" ht="15.75">
      <c r="A897" s="116"/>
    </row>
    <row r="898" spans="1:4" ht="15.75">
      <c r="A898" s="116"/>
    </row>
    <row r="899" spans="1:4" ht="15.75">
      <c r="A899" s="116"/>
    </row>
    <row r="900" spans="1:4" ht="15.75">
      <c r="A900" s="116"/>
    </row>
    <row r="901" spans="1:4" ht="15.75">
      <c r="A901" s="116"/>
    </row>
    <row r="902" spans="1:4" ht="15.75">
      <c r="A902" s="116"/>
    </row>
    <row r="903" spans="1:4" ht="15.75">
      <c r="A903" s="116"/>
    </row>
    <row r="904" spans="1:4" ht="15.75">
      <c r="A904" s="116"/>
    </row>
    <row r="905" spans="1:4" ht="15.75">
      <c r="A905" s="116"/>
    </row>
    <row r="906" spans="1:4" ht="15.75">
      <c r="A906" s="116"/>
    </row>
    <row r="907" spans="1:4" ht="15.75">
      <c r="A907" s="116"/>
    </row>
    <row r="908" spans="1:4" ht="15.75">
      <c r="A908" s="116"/>
      <c r="D908" s="118"/>
    </row>
    <row r="909" spans="1:4" ht="15.75">
      <c r="A909" s="116"/>
      <c r="D909" s="118"/>
    </row>
    <row r="910" spans="1:4" ht="15.75">
      <c r="A910" s="116"/>
      <c r="D910" s="118"/>
    </row>
    <row r="911" spans="1:4" ht="15.75">
      <c r="A911" s="116"/>
      <c r="D911" s="118"/>
    </row>
    <row r="912" spans="1:4" ht="15.75">
      <c r="A912" s="116"/>
      <c r="D912" s="118"/>
    </row>
    <row r="913" spans="1:16" ht="15.75">
      <c r="A913" s="116"/>
      <c r="D913" s="118"/>
    </row>
    <row r="914" spans="1:16" ht="15.75">
      <c r="A914" s="116"/>
      <c r="D914" s="118"/>
    </row>
    <row r="915" spans="1:16" ht="15.75">
      <c r="A915" s="116"/>
      <c r="D915" s="118"/>
    </row>
    <row r="916" spans="1:16" ht="15.75">
      <c r="A916" s="116"/>
      <c r="D916" s="118"/>
    </row>
    <row r="917" spans="1:16" ht="15.75">
      <c r="A917" s="116"/>
      <c r="D917" s="118"/>
    </row>
    <row r="918" spans="1:16" ht="15.75">
      <c r="A918" s="116"/>
      <c r="D918" s="118"/>
    </row>
    <row r="919" spans="1:16" ht="15.75">
      <c r="A919" s="116"/>
      <c r="D919" s="118"/>
    </row>
    <row r="920" spans="1:16" ht="15.75">
      <c r="A920" s="116"/>
      <c r="D920" s="118"/>
    </row>
    <row r="921" spans="1:16" ht="15.75">
      <c r="A921" s="116"/>
      <c r="D921" s="118"/>
    </row>
    <row r="922" spans="1:16" ht="15.75">
      <c r="A922" s="116"/>
      <c r="D922" s="118"/>
    </row>
    <row r="923" spans="1:16" ht="15.75">
      <c r="A923" s="116"/>
      <c r="D923" s="118"/>
    </row>
    <row r="924" spans="1:16" ht="15.75">
      <c r="A924" s="116"/>
      <c r="D924" s="118"/>
    </row>
    <row r="925" spans="1:16" ht="15.75">
      <c r="A925" s="116"/>
      <c r="D925" s="118"/>
      <c r="E925" s="118"/>
      <c r="F925" s="118"/>
      <c r="G925" s="118"/>
      <c r="H925" s="118"/>
      <c r="I925" s="118"/>
      <c r="J925" s="118"/>
      <c r="K925" s="118"/>
      <c r="L925" s="118"/>
      <c r="M925" s="118"/>
      <c r="N925" s="118"/>
      <c r="O925" s="118"/>
      <c r="P925" s="118"/>
    </row>
    <row r="926" spans="1:16" ht="15.75">
      <c r="A926" s="116"/>
      <c r="D926" s="118"/>
      <c r="E926" s="118"/>
      <c r="F926" s="118"/>
      <c r="G926" s="118"/>
      <c r="H926" s="118"/>
      <c r="I926" s="118"/>
      <c r="J926" s="118"/>
      <c r="K926" s="118"/>
      <c r="L926" s="118"/>
      <c r="M926" s="118"/>
      <c r="N926" s="118"/>
      <c r="O926" s="118"/>
      <c r="P926" s="118"/>
    </row>
    <row r="927" spans="1:16" s="118" customFormat="1" ht="15.75">
      <c r="A927" s="116"/>
      <c r="B927" s="116"/>
      <c r="C927" s="116"/>
    </row>
    <row r="928" spans="1:16" s="118" customFormat="1" ht="15.75">
      <c r="A928" s="116"/>
      <c r="B928" s="116"/>
      <c r="C928" s="116"/>
    </row>
    <row r="929" spans="1:3" s="118" customFormat="1" ht="15.75">
      <c r="A929" s="116"/>
      <c r="B929" s="116"/>
      <c r="C929" s="116"/>
    </row>
    <row r="930" spans="1:3" s="118" customFormat="1" ht="15.75">
      <c r="A930" s="116"/>
      <c r="B930" s="116"/>
      <c r="C930" s="116"/>
    </row>
    <row r="931" spans="1:3" s="118" customFormat="1" ht="15.75">
      <c r="A931" s="116"/>
      <c r="B931" s="116"/>
      <c r="C931" s="116"/>
    </row>
    <row r="932" spans="1:3" s="118" customFormat="1" ht="15.75">
      <c r="A932" s="116"/>
      <c r="B932" s="116"/>
      <c r="C932" s="116"/>
    </row>
    <row r="933" spans="1:3" s="118" customFormat="1" ht="15.75">
      <c r="A933" s="116"/>
      <c r="B933" s="116"/>
      <c r="C933" s="116"/>
    </row>
    <row r="934" spans="1:3" s="118" customFormat="1" ht="15.75">
      <c r="A934" s="116"/>
      <c r="B934" s="116"/>
      <c r="C934" s="116"/>
    </row>
    <row r="935" spans="1:3" s="118" customFormat="1" ht="15.75">
      <c r="A935" s="116"/>
      <c r="B935" s="116"/>
      <c r="C935" s="116"/>
    </row>
    <row r="936" spans="1:3" s="118" customFormat="1" ht="15.75">
      <c r="A936" s="116"/>
      <c r="B936" s="116"/>
      <c r="C936" s="116"/>
    </row>
    <row r="937" spans="1:3" s="118" customFormat="1" ht="15.75">
      <c r="A937" s="116"/>
      <c r="B937" s="116"/>
      <c r="C937" s="116"/>
    </row>
    <row r="938" spans="1:3" s="118" customFormat="1" ht="15.75">
      <c r="A938" s="116"/>
      <c r="B938" s="116"/>
      <c r="C938" s="116"/>
    </row>
    <row r="939" spans="1:3" s="118" customFormat="1" ht="15.75">
      <c r="A939" s="116"/>
      <c r="B939" s="116"/>
      <c r="C939" s="116"/>
    </row>
    <row r="940" spans="1:3" s="118" customFormat="1" ht="15.75">
      <c r="A940" s="116"/>
      <c r="B940" s="116"/>
      <c r="C940" s="116"/>
    </row>
    <row r="941" spans="1:3" s="118" customFormat="1" ht="15.75">
      <c r="A941" s="116"/>
      <c r="B941" s="116"/>
      <c r="C941" s="116"/>
    </row>
    <row r="942" spans="1:3" s="118" customFormat="1" ht="15.75">
      <c r="A942" s="116"/>
      <c r="B942" s="116"/>
      <c r="C942" s="116"/>
    </row>
    <row r="943" spans="1:3" s="118" customFormat="1" ht="15.75">
      <c r="A943" s="116"/>
      <c r="B943" s="116"/>
      <c r="C943" s="116"/>
    </row>
    <row r="944" spans="1:3" s="118" customFormat="1" ht="15.75">
      <c r="A944" s="116"/>
      <c r="B944" s="116"/>
      <c r="C944" s="116"/>
    </row>
    <row r="945" spans="1:4" s="118" customFormat="1" ht="15.75">
      <c r="A945" s="116"/>
      <c r="B945" s="116"/>
      <c r="C945" s="116"/>
      <c r="D945" s="116"/>
    </row>
    <row r="946" spans="1:4" s="118" customFormat="1" ht="15.75">
      <c r="A946" s="116"/>
      <c r="B946" s="116"/>
      <c r="C946" s="116"/>
      <c r="D946" s="116"/>
    </row>
    <row r="947" spans="1:4" s="118" customFormat="1" ht="15.75">
      <c r="A947" s="116"/>
      <c r="B947" s="116"/>
      <c r="C947" s="116"/>
      <c r="D947" s="116"/>
    </row>
    <row r="948" spans="1:4" s="118" customFormat="1" ht="15.75">
      <c r="A948" s="116"/>
      <c r="B948" s="116"/>
      <c r="C948" s="116"/>
      <c r="D948" s="116"/>
    </row>
    <row r="949" spans="1:4" s="118" customFormat="1" ht="15.75">
      <c r="A949" s="116"/>
      <c r="B949" s="116"/>
      <c r="C949" s="116"/>
      <c r="D949" s="116"/>
    </row>
    <row r="950" spans="1:4" s="118" customFormat="1" ht="15.75">
      <c r="A950" s="116"/>
      <c r="B950" s="116"/>
      <c r="C950" s="116"/>
      <c r="D950" s="116"/>
    </row>
    <row r="951" spans="1:4" s="118" customFormat="1" ht="15.75">
      <c r="A951" s="116"/>
      <c r="B951" s="116"/>
      <c r="C951" s="116"/>
      <c r="D951" s="116"/>
    </row>
    <row r="952" spans="1:4" s="118" customFormat="1" ht="15.75">
      <c r="A952" s="116"/>
      <c r="B952" s="116"/>
      <c r="C952" s="116"/>
      <c r="D952" s="116"/>
    </row>
    <row r="953" spans="1:4" s="118" customFormat="1" ht="15.75">
      <c r="A953" s="116"/>
      <c r="B953" s="116"/>
      <c r="C953" s="116"/>
      <c r="D953" s="116"/>
    </row>
    <row r="954" spans="1:4" s="118" customFormat="1" ht="15.75">
      <c r="A954" s="116"/>
      <c r="B954" s="116"/>
      <c r="C954" s="116"/>
      <c r="D954" s="116"/>
    </row>
    <row r="955" spans="1:4" s="118" customFormat="1" ht="15.75">
      <c r="A955" s="116"/>
      <c r="B955" s="116"/>
      <c r="C955" s="116"/>
      <c r="D955" s="116"/>
    </row>
    <row r="956" spans="1:4" s="118" customFormat="1" ht="15.75">
      <c r="A956" s="116"/>
      <c r="B956" s="116"/>
      <c r="C956" s="116"/>
      <c r="D956" s="116"/>
    </row>
    <row r="957" spans="1:4" s="118" customFormat="1" ht="15.75">
      <c r="A957" s="116"/>
      <c r="B957" s="116"/>
      <c r="C957" s="116"/>
      <c r="D957" s="116"/>
    </row>
    <row r="958" spans="1:4" s="118" customFormat="1" ht="15.75">
      <c r="A958" s="116"/>
      <c r="B958" s="116"/>
      <c r="C958" s="116"/>
      <c r="D958" s="116"/>
    </row>
    <row r="959" spans="1:4" s="118" customFormat="1" ht="15.75">
      <c r="A959" s="116"/>
      <c r="B959" s="116"/>
      <c r="C959" s="116"/>
      <c r="D959" s="116"/>
    </row>
    <row r="960" spans="1:4" s="118" customFormat="1" ht="15.75">
      <c r="A960" s="116"/>
      <c r="B960" s="116"/>
      <c r="C960" s="116"/>
      <c r="D960" s="116"/>
    </row>
    <row r="961" spans="1:16" s="118" customFormat="1" ht="15.75">
      <c r="A961" s="116"/>
      <c r="B961" s="116"/>
      <c r="C961" s="116"/>
      <c r="D961" s="116"/>
      <c r="E961" s="116"/>
      <c r="F961" s="116"/>
      <c r="G961" s="116"/>
      <c r="H961" s="116"/>
      <c r="I961" s="116"/>
      <c r="J961" s="116"/>
      <c r="K961" s="116"/>
      <c r="L961" s="116"/>
      <c r="M961" s="116"/>
      <c r="N961" s="116"/>
      <c r="O961" s="116"/>
      <c r="P961" s="116"/>
    </row>
    <row r="962" spans="1:16" s="118" customFormat="1" ht="15.75">
      <c r="A962" s="116"/>
      <c r="B962" s="116"/>
      <c r="C962" s="116"/>
      <c r="D962" s="116"/>
      <c r="E962" s="116"/>
      <c r="F962" s="116"/>
      <c r="G962" s="116"/>
      <c r="H962" s="116"/>
      <c r="I962" s="116"/>
      <c r="J962" s="116"/>
      <c r="K962" s="116"/>
      <c r="L962" s="116"/>
      <c r="M962" s="116"/>
      <c r="N962" s="116"/>
      <c r="O962" s="116"/>
      <c r="P962" s="116"/>
    </row>
    <row r="963" spans="1:16" ht="15.75">
      <c r="A963" s="116"/>
    </row>
    <row r="964" spans="1:16" ht="15.75">
      <c r="A964" s="116"/>
    </row>
    <row r="965" spans="1:16" ht="15.75">
      <c r="A965" s="116"/>
    </row>
    <row r="966" spans="1:16" ht="15.75">
      <c r="A966" s="116"/>
    </row>
    <row r="967" spans="1:16" ht="15.75">
      <c r="A967" s="116"/>
    </row>
    <row r="968" spans="1:16" ht="15.75">
      <c r="A968" s="116"/>
    </row>
    <row r="969" spans="1:16" ht="15.75">
      <c r="A969" s="116"/>
    </row>
    <row r="970" spans="1:16" ht="15.75">
      <c r="A970" s="116"/>
    </row>
    <row r="971" spans="1:16" ht="15.75">
      <c r="A971" s="116"/>
    </row>
    <row r="972" spans="1:16" ht="15.75">
      <c r="A972" s="116"/>
    </row>
    <row r="973" spans="1:16" ht="15.75">
      <c r="A973" s="116"/>
    </row>
    <row r="974" spans="1:16" ht="15.75">
      <c r="A974" s="116"/>
    </row>
    <row r="975" spans="1:16" ht="15.75">
      <c r="A975" s="116"/>
    </row>
    <row r="976" spans="1:16" ht="15.75">
      <c r="A976" s="116"/>
    </row>
    <row r="977" spans="1:4" ht="15.75">
      <c r="A977" s="116"/>
    </row>
    <row r="978" spans="1:4" ht="15.75">
      <c r="A978" s="116"/>
    </row>
    <row r="979" spans="1:4" ht="15.75">
      <c r="A979" s="116"/>
    </row>
    <row r="980" spans="1:4" ht="15.75">
      <c r="A980" s="116"/>
    </row>
    <row r="981" spans="1:4" ht="15.75">
      <c r="A981" s="116"/>
    </row>
    <row r="982" spans="1:4" ht="15.75">
      <c r="A982" s="116"/>
    </row>
    <row r="983" spans="1:4" ht="15.75">
      <c r="A983" s="116"/>
    </row>
    <row r="984" spans="1:4" ht="15.75">
      <c r="A984" s="116"/>
      <c r="D984" s="118"/>
    </row>
    <row r="985" spans="1:4" ht="15.75">
      <c r="A985" s="116"/>
      <c r="D985" s="118"/>
    </row>
    <row r="986" spans="1:4" ht="15.75">
      <c r="A986" s="116"/>
      <c r="D986" s="118"/>
    </row>
    <row r="987" spans="1:4" ht="15.75">
      <c r="A987" s="116"/>
      <c r="D987" s="118"/>
    </row>
    <row r="988" spans="1:4" ht="15.75">
      <c r="A988" s="116"/>
      <c r="D988" s="118"/>
    </row>
    <row r="989" spans="1:4" ht="15.75">
      <c r="A989" s="116"/>
      <c r="D989" s="118"/>
    </row>
    <row r="990" spans="1:4" ht="15.75">
      <c r="A990" s="116"/>
      <c r="D990" s="118"/>
    </row>
    <row r="991" spans="1:4" ht="15.75">
      <c r="A991" s="116"/>
      <c r="D991" s="118"/>
    </row>
    <row r="992" spans="1:4" ht="15.75">
      <c r="A992" s="116"/>
      <c r="D992" s="118"/>
    </row>
    <row r="993" spans="1:16" ht="15.75">
      <c r="A993" s="116"/>
      <c r="D993" s="118"/>
    </row>
    <row r="994" spans="1:16" ht="15.75">
      <c r="A994" s="116"/>
      <c r="D994" s="118"/>
    </row>
    <row r="995" spans="1:16" ht="15.75">
      <c r="A995" s="116"/>
      <c r="D995" s="118"/>
    </row>
    <row r="996" spans="1:16" ht="15.75">
      <c r="A996" s="116"/>
      <c r="D996" s="118"/>
    </row>
    <row r="997" spans="1:16" ht="15.75">
      <c r="A997" s="116"/>
      <c r="D997" s="118"/>
    </row>
    <row r="998" spans="1:16" ht="15.75">
      <c r="A998" s="116"/>
      <c r="D998" s="118"/>
    </row>
    <row r="999" spans="1:16" ht="15.75">
      <c r="A999" s="116"/>
      <c r="D999" s="118"/>
    </row>
    <row r="1000" spans="1:16" ht="15.75">
      <c r="A1000" s="116"/>
      <c r="E1000" s="118"/>
      <c r="F1000" s="118"/>
      <c r="G1000" s="118"/>
      <c r="H1000" s="118"/>
      <c r="I1000" s="118"/>
      <c r="J1000" s="118"/>
      <c r="K1000" s="118"/>
      <c r="L1000" s="118"/>
      <c r="M1000" s="118"/>
      <c r="N1000" s="118"/>
      <c r="O1000" s="118"/>
      <c r="P1000" s="118"/>
    </row>
    <row r="1001" spans="1:16" ht="15.75">
      <c r="A1001" s="116"/>
      <c r="D1001" s="118"/>
      <c r="E1001" s="118"/>
      <c r="F1001" s="118"/>
      <c r="G1001" s="118"/>
      <c r="H1001" s="118"/>
      <c r="I1001" s="118"/>
      <c r="J1001" s="118"/>
      <c r="K1001" s="118"/>
      <c r="L1001" s="118"/>
      <c r="M1001" s="118"/>
      <c r="N1001" s="118"/>
      <c r="O1001" s="118"/>
      <c r="P1001" s="118"/>
    </row>
    <row r="1002" spans="1:16" s="118" customFormat="1" ht="15.75">
      <c r="A1002" s="116"/>
      <c r="B1002" s="116"/>
      <c r="C1002" s="116"/>
    </row>
    <row r="1003" spans="1:16" s="118" customFormat="1" ht="15.75">
      <c r="A1003" s="116"/>
      <c r="B1003" s="116"/>
      <c r="C1003" s="116"/>
    </row>
    <row r="1004" spans="1:16" s="118" customFormat="1" ht="15.75">
      <c r="A1004" s="116"/>
      <c r="B1004" s="116"/>
      <c r="C1004" s="116"/>
      <c r="D1004" s="116"/>
    </row>
    <row r="1005" spans="1:16" s="118" customFormat="1" ht="15.75">
      <c r="A1005" s="116"/>
      <c r="B1005" s="116"/>
      <c r="C1005" s="116"/>
      <c r="D1005" s="116"/>
    </row>
    <row r="1006" spans="1:16" s="118" customFormat="1" ht="15.75">
      <c r="A1006" s="116"/>
      <c r="B1006" s="116"/>
      <c r="C1006" s="116"/>
      <c r="D1006" s="116"/>
    </row>
    <row r="1007" spans="1:16" s="118" customFormat="1" ht="15.75">
      <c r="A1007" s="116"/>
      <c r="B1007" s="116"/>
      <c r="C1007" s="116"/>
      <c r="D1007" s="116"/>
    </row>
    <row r="1008" spans="1:16" s="118" customFormat="1" ht="15.75">
      <c r="A1008" s="116"/>
      <c r="B1008" s="116"/>
      <c r="C1008" s="116"/>
      <c r="D1008" s="116"/>
    </row>
    <row r="1009" spans="1:16" s="118" customFormat="1" ht="15.75">
      <c r="A1009" s="116"/>
      <c r="B1009" s="116"/>
      <c r="C1009" s="116"/>
      <c r="D1009" s="116"/>
    </row>
    <row r="1010" spans="1:16" s="118" customFormat="1" ht="15.75">
      <c r="A1010" s="116"/>
      <c r="B1010" s="116"/>
      <c r="C1010" s="116"/>
      <c r="D1010" s="116"/>
    </row>
    <row r="1011" spans="1:16" s="118" customFormat="1" ht="15.75">
      <c r="A1011" s="116"/>
      <c r="B1011" s="116"/>
      <c r="C1011" s="116"/>
      <c r="D1011" s="116"/>
    </row>
    <row r="1012" spans="1:16" s="118" customFormat="1" ht="15.75">
      <c r="A1012" s="116"/>
      <c r="B1012" s="116"/>
      <c r="C1012" s="116"/>
      <c r="D1012" s="116"/>
    </row>
    <row r="1013" spans="1:16" s="118" customFormat="1" ht="15.75">
      <c r="A1013" s="116"/>
      <c r="B1013" s="116"/>
      <c r="C1013" s="116"/>
      <c r="D1013" s="116"/>
    </row>
    <row r="1014" spans="1:16" s="118" customFormat="1" ht="15.75">
      <c r="A1014" s="116"/>
      <c r="B1014" s="116"/>
      <c r="C1014" s="116"/>
      <c r="D1014" s="116"/>
    </row>
    <row r="1015" spans="1:16" s="118" customFormat="1" ht="15.75">
      <c r="A1015" s="116"/>
      <c r="B1015" s="116"/>
      <c r="C1015" s="116"/>
      <c r="D1015" s="116"/>
    </row>
    <row r="1016" spans="1:16" s="118" customFormat="1" ht="15.75">
      <c r="A1016" s="116"/>
      <c r="B1016" s="116"/>
      <c r="C1016" s="116"/>
      <c r="D1016" s="116"/>
      <c r="E1016" s="116"/>
      <c r="F1016" s="116"/>
      <c r="G1016" s="116"/>
      <c r="H1016" s="116"/>
      <c r="I1016" s="116"/>
      <c r="J1016" s="116"/>
      <c r="K1016" s="116"/>
      <c r="L1016" s="116"/>
      <c r="M1016" s="116"/>
      <c r="N1016" s="116"/>
      <c r="O1016" s="116"/>
      <c r="P1016" s="116"/>
    </row>
    <row r="1017" spans="1:16" s="118" customFormat="1" ht="15.75">
      <c r="A1017" s="116"/>
      <c r="B1017" s="116"/>
      <c r="C1017" s="116"/>
    </row>
    <row r="1018" spans="1:16" ht="15.75">
      <c r="A1018" s="116"/>
      <c r="E1018" s="118"/>
      <c r="F1018" s="118"/>
      <c r="G1018" s="118"/>
      <c r="H1018" s="118"/>
      <c r="I1018" s="118"/>
      <c r="J1018" s="118"/>
      <c r="K1018" s="118"/>
      <c r="L1018" s="118"/>
      <c r="M1018" s="118"/>
      <c r="N1018" s="118"/>
      <c r="O1018" s="118"/>
      <c r="P1018" s="118"/>
    </row>
    <row r="1019" spans="1:16" s="118" customFormat="1" ht="15.75">
      <c r="A1019" s="116"/>
      <c r="B1019" s="116"/>
      <c r="C1019" s="116"/>
      <c r="D1019" s="116"/>
    </row>
    <row r="1020" spans="1:16" s="118" customFormat="1" ht="15.75">
      <c r="A1020" s="116"/>
      <c r="B1020" s="116"/>
      <c r="C1020" s="116"/>
      <c r="D1020" s="116"/>
      <c r="E1020" s="116"/>
      <c r="F1020" s="116"/>
      <c r="G1020" s="116"/>
      <c r="H1020" s="116"/>
      <c r="I1020" s="116"/>
      <c r="J1020" s="116"/>
      <c r="K1020" s="116"/>
      <c r="L1020" s="116"/>
      <c r="M1020" s="116"/>
      <c r="N1020" s="116"/>
      <c r="O1020" s="116"/>
      <c r="P1020" s="116"/>
    </row>
    <row r="1021" spans="1:16" s="118" customFormat="1" ht="15.75">
      <c r="A1021" s="116"/>
      <c r="B1021" s="116"/>
      <c r="C1021" s="116"/>
      <c r="D1021" s="116"/>
      <c r="E1021" s="116"/>
      <c r="F1021" s="116"/>
      <c r="G1021" s="116"/>
      <c r="H1021" s="116"/>
      <c r="I1021" s="116"/>
      <c r="J1021" s="116"/>
      <c r="K1021" s="116"/>
      <c r="L1021" s="116"/>
      <c r="M1021" s="116"/>
      <c r="N1021" s="116"/>
      <c r="O1021" s="116"/>
      <c r="P1021" s="116"/>
    </row>
    <row r="1022" spans="1:16" ht="15.75">
      <c r="A1022" s="116"/>
    </row>
    <row r="1023" spans="1:16" ht="15.75">
      <c r="A1023" s="116"/>
    </row>
    <row r="1024" spans="1:16" ht="15.75">
      <c r="A1024" s="116"/>
    </row>
    <row r="1025" spans="1:16" ht="15.75">
      <c r="A1025" s="116"/>
    </row>
    <row r="1026" spans="1:16" ht="15.75">
      <c r="A1026" s="116"/>
      <c r="D1026" s="118"/>
    </row>
    <row r="1027" spans="1:16" ht="15.75">
      <c r="A1027" s="116"/>
    </row>
    <row r="1028" spans="1:16" ht="15.75">
      <c r="A1028" s="116"/>
    </row>
    <row r="1029" spans="1:16" ht="15.75">
      <c r="A1029" s="116"/>
    </row>
    <row r="1030" spans="1:16" ht="15.75">
      <c r="A1030" s="116"/>
      <c r="D1030" s="118"/>
    </row>
    <row r="1031" spans="1:16" ht="15.75">
      <c r="A1031" s="116"/>
      <c r="D1031" s="118"/>
    </row>
    <row r="1032" spans="1:16" ht="15.75">
      <c r="A1032" s="116"/>
    </row>
    <row r="1033" spans="1:16" ht="15.75">
      <c r="A1033" s="116"/>
      <c r="E1033" s="118"/>
      <c r="F1033" s="118"/>
      <c r="G1033" s="118"/>
      <c r="H1033" s="118"/>
      <c r="I1033" s="118"/>
      <c r="J1033" s="118"/>
      <c r="K1033" s="118"/>
      <c r="L1033" s="118"/>
      <c r="M1033" s="118"/>
      <c r="N1033" s="118"/>
      <c r="O1033" s="118"/>
      <c r="P1033" s="118"/>
    </row>
    <row r="1034" spans="1:16" ht="15.75">
      <c r="A1034" s="116"/>
    </row>
    <row r="1035" spans="1:16" s="118" customFormat="1" ht="15.75">
      <c r="A1035" s="116"/>
      <c r="B1035" s="116"/>
      <c r="C1035" s="116"/>
      <c r="D1035" s="116"/>
      <c r="E1035" s="116"/>
      <c r="F1035" s="116"/>
      <c r="G1035" s="116"/>
      <c r="H1035" s="116"/>
      <c r="I1035" s="116"/>
      <c r="J1035" s="116"/>
      <c r="K1035" s="116"/>
      <c r="L1035" s="116"/>
      <c r="M1035" s="116"/>
      <c r="N1035" s="116"/>
      <c r="O1035" s="116"/>
      <c r="P1035" s="116"/>
    </row>
    <row r="1036" spans="1:16" ht="15.75">
      <c r="A1036" s="116"/>
    </row>
    <row r="1037" spans="1:16" ht="15.75">
      <c r="A1037" s="116"/>
    </row>
    <row r="1038" spans="1:16" ht="15.75">
      <c r="A1038" s="116"/>
    </row>
    <row r="1039" spans="1:16" ht="15.75">
      <c r="A1039" s="116"/>
    </row>
    <row r="1040" spans="1:16" ht="15.75">
      <c r="A1040" s="116"/>
    </row>
    <row r="1041" spans="1:16" ht="15.75">
      <c r="A1041" s="116"/>
      <c r="D1041" s="118"/>
    </row>
    <row r="1042" spans="1:16" ht="15.75">
      <c r="A1042" s="116"/>
      <c r="D1042" s="118"/>
      <c r="E1042" s="118"/>
      <c r="F1042" s="118"/>
      <c r="G1042" s="118"/>
      <c r="H1042" s="118"/>
      <c r="I1042" s="118"/>
      <c r="J1042" s="118"/>
      <c r="K1042" s="118"/>
      <c r="L1042" s="118"/>
      <c r="M1042" s="118"/>
      <c r="N1042" s="118"/>
      <c r="O1042" s="118"/>
      <c r="P1042" s="118"/>
    </row>
    <row r="1043" spans="1:16" ht="15.75">
      <c r="A1043" s="116"/>
      <c r="D1043" s="118"/>
    </row>
    <row r="1044" spans="1:16" s="118" customFormat="1" ht="15.75">
      <c r="A1044" s="116"/>
      <c r="B1044" s="116"/>
      <c r="C1044" s="116"/>
      <c r="E1044" s="116"/>
      <c r="F1044" s="116"/>
      <c r="G1044" s="116"/>
      <c r="H1044" s="116"/>
      <c r="I1044" s="116"/>
      <c r="J1044" s="116"/>
      <c r="K1044" s="116"/>
      <c r="L1044" s="116"/>
      <c r="M1044" s="116"/>
      <c r="N1044" s="116"/>
      <c r="O1044" s="116"/>
      <c r="P1044" s="116"/>
    </row>
    <row r="1045" spans="1:16" ht="15.75">
      <c r="A1045" s="116"/>
      <c r="D1045" s="118"/>
    </row>
    <row r="1046" spans="1:16" ht="15.75">
      <c r="A1046" s="116"/>
      <c r="D1046" s="118"/>
      <c r="E1046" s="118"/>
      <c r="F1046" s="118"/>
      <c r="G1046" s="118"/>
      <c r="H1046" s="118"/>
      <c r="I1046" s="118"/>
      <c r="J1046" s="118"/>
      <c r="K1046" s="118"/>
      <c r="L1046" s="118"/>
      <c r="M1046" s="118"/>
      <c r="N1046" s="118"/>
      <c r="O1046" s="118"/>
      <c r="P1046" s="118"/>
    </row>
    <row r="1047" spans="1:16" ht="15.75">
      <c r="A1047" s="116"/>
      <c r="D1047" s="118"/>
      <c r="E1047" s="118"/>
      <c r="F1047" s="118"/>
      <c r="G1047" s="118"/>
      <c r="H1047" s="118"/>
      <c r="I1047" s="118"/>
      <c r="J1047" s="118"/>
      <c r="K1047" s="118"/>
      <c r="L1047" s="118"/>
      <c r="M1047" s="118"/>
      <c r="N1047" s="118"/>
      <c r="O1047" s="118"/>
      <c r="P1047" s="118"/>
    </row>
    <row r="1048" spans="1:16" s="118" customFormat="1" ht="15.75">
      <c r="A1048" s="116"/>
      <c r="B1048" s="116"/>
      <c r="C1048" s="116"/>
      <c r="E1048" s="116"/>
      <c r="F1048" s="116"/>
      <c r="G1048" s="116"/>
      <c r="H1048" s="116"/>
      <c r="I1048" s="116"/>
      <c r="J1048" s="116"/>
      <c r="K1048" s="116"/>
      <c r="L1048" s="116"/>
      <c r="M1048" s="116"/>
      <c r="N1048" s="116"/>
      <c r="O1048" s="116"/>
      <c r="P1048" s="116"/>
    </row>
    <row r="1049" spans="1:16" s="118" customFormat="1" ht="15.75">
      <c r="A1049" s="116"/>
      <c r="B1049" s="116"/>
      <c r="C1049" s="116"/>
      <c r="E1049" s="116"/>
      <c r="F1049" s="116"/>
      <c r="G1049" s="116"/>
      <c r="H1049" s="116"/>
      <c r="I1049" s="116"/>
      <c r="J1049" s="116"/>
      <c r="K1049" s="116"/>
      <c r="L1049" s="116"/>
      <c r="M1049" s="116"/>
      <c r="N1049" s="116"/>
      <c r="O1049" s="116"/>
      <c r="P1049" s="116"/>
    </row>
    <row r="1050" spans="1:16" ht="15.75">
      <c r="A1050" s="116"/>
      <c r="D1050" s="118"/>
    </row>
    <row r="1051" spans="1:16" ht="15.75">
      <c r="A1051" s="116"/>
      <c r="D1051" s="118"/>
    </row>
    <row r="1052" spans="1:16" ht="15.75">
      <c r="A1052" s="116"/>
      <c r="D1052" s="118"/>
    </row>
    <row r="1053" spans="1:16" ht="15.75">
      <c r="A1053" s="116"/>
      <c r="D1053" s="118"/>
    </row>
    <row r="1054" spans="1:16" ht="15.75">
      <c r="A1054" s="116"/>
      <c r="D1054" s="118"/>
    </row>
    <row r="1055" spans="1:16" ht="15.75">
      <c r="A1055" s="116"/>
      <c r="D1055" s="118"/>
    </row>
    <row r="1056" spans="1:16" ht="15.75">
      <c r="A1056" s="116"/>
      <c r="D1056" s="118"/>
    </row>
    <row r="1057" spans="1:16" ht="15.75">
      <c r="A1057" s="116"/>
      <c r="D1057" s="118"/>
      <c r="E1057" s="118"/>
      <c r="F1057" s="118"/>
      <c r="G1057" s="118"/>
      <c r="H1057" s="118"/>
      <c r="I1057" s="118"/>
      <c r="J1057" s="118"/>
      <c r="K1057" s="118"/>
      <c r="L1057" s="118"/>
      <c r="M1057" s="118"/>
      <c r="N1057" s="118"/>
      <c r="O1057" s="118"/>
      <c r="P1057" s="118"/>
    </row>
    <row r="1058" spans="1:16" ht="15.75">
      <c r="A1058" s="116"/>
      <c r="D1058" s="118"/>
      <c r="E1058" s="118"/>
      <c r="F1058" s="118"/>
      <c r="G1058" s="118"/>
      <c r="H1058" s="118"/>
      <c r="I1058" s="118"/>
      <c r="J1058" s="118"/>
      <c r="K1058" s="118"/>
      <c r="L1058" s="118"/>
      <c r="M1058" s="118"/>
      <c r="N1058" s="118"/>
      <c r="O1058" s="118"/>
      <c r="P1058" s="118"/>
    </row>
    <row r="1059" spans="1:16" s="118" customFormat="1" ht="15.75">
      <c r="A1059" s="116"/>
      <c r="B1059" s="116"/>
      <c r="C1059" s="116"/>
    </row>
    <row r="1060" spans="1:16" s="118" customFormat="1" ht="15.75">
      <c r="A1060" s="116"/>
      <c r="B1060" s="116"/>
      <c r="C1060" s="116"/>
    </row>
    <row r="1061" spans="1:16" s="118" customFormat="1" ht="15.75">
      <c r="A1061" s="116"/>
      <c r="B1061" s="116"/>
      <c r="C1061" s="116"/>
    </row>
    <row r="1062" spans="1:16" s="118" customFormat="1" ht="15.75">
      <c r="A1062" s="116"/>
      <c r="B1062" s="116"/>
      <c r="C1062" s="116"/>
    </row>
    <row r="1063" spans="1:16" s="118" customFormat="1" ht="15.75">
      <c r="A1063" s="116"/>
      <c r="B1063" s="116"/>
      <c r="C1063" s="116"/>
    </row>
    <row r="1064" spans="1:16" s="118" customFormat="1" ht="15.75">
      <c r="A1064" s="116"/>
      <c r="B1064" s="116"/>
      <c r="C1064" s="116"/>
    </row>
    <row r="1065" spans="1:16" s="118" customFormat="1" ht="15.75">
      <c r="A1065" s="116"/>
      <c r="B1065" s="116"/>
      <c r="C1065" s="116"/>
    </row>
    <row r="1066" spans="1:16" s="118" customFormat="1" ht="15.75">
      <c r="A1066" s="116"/>
      <c r="B1066" s="116"/>
      <c r="C1066" s="116"/>
    </row>
    <row r="1067" spans="1:16" s="118" customFormat="1" ht="15.75">
      <c r="A1067" s="116"/>
      <c r="B1067" s="116"/>
      <c r="C1067" s="116"/>
    </row>
    <row r="1068" spans="1:16" s="118" customFormat="1" ht="15.75">
      <c r="A1068" s="116"/>
      <c r="B1068" s="116"/>
      <c r="C1068" s="116"/>
    </row>
    <row r="1069" spans="1:16" s="118" customFormat="1" ht="15.75">
      <c r="A1069" s="116"/>
      <c r="B1069" s="116"/>
      <c r="C1069" s="116"/>
    </row>
    <row r="1070" spans="1:16" s="118" customFormat="1" ht="15.75">
      <c r="A1070" s="116"/>
      <c r="B1070" s="116"/>
      <c r="C1070" s="116"/>
    </row>
    <row r="1071" spans="1:16" s="118" customFormat="1" ht="15.75">
      <c r="A1071" s="116"/>
      <c r="B1071" s="116"/>
      <c r="C1071" s="116"/>
    </row>
    <row r="1072" spans="1:16" s="118" customFormat="1" ht="15.75">
      <c r="A1072" s="116"/>
      <c r="B1072" s="116"/>
      <c r="C1072" s="116"/>
    </row>
    <row r="1073" spans="1:4" s="118" customFormat="1" ht="15.75">
      <c r="A1073" s="116"/>
      <c r="B1073" s="116"/>
      <c r="C1073" s="116"/>
    </row>
    <row r="1074" spans="1:4" s="118" customFormat="1" ht="15.75">
      <c r="A1074" s="116"/>
      <c r="B1074" s="116"/>
      <c r="C1074" s="116"/>
    </row>
    <row r="1075" spans="1:4" s="118" customFormat="1" ht="15.75">
      <c r="A1075" s="116"/>
      <c r="B1075" s="116"/>
      <c r="C1075" s="116"/>
    </row>
    <row r="1076" spans="1:4" s="118" customFormat="1" ht="15.75">
      <c r="A1076" s="116"/>
      <c r="B1076" s="116"/>
      <c r="C1076" s="116"/>
    </row>
    <row r="1077" spans="1:4" s="118" customFormat="1" ht="15.75">
      <c r="A1077" s="116"/>
      <c r="B1077" s="116"/>
      <c r="C1077" s="116"/>
    </row>
    <row r="1078" spans="1:4" s="118" customFormat="1" ht="15.75">
      <c r="A1078" s="116"/>
      <c r="B1078" s="116"/>
      <c r="C1078" s="116"/>
      <c r="D1078" s="116"/>
    </row>
    <row r="1079" spans="1:4" s="118" customFormat="1" ht="15.75">
      <c r="A1079" s="116"/>
      <c r="B1079" s="116"/>
      <c r="C1079" s="116"/>
      <c r="D1079" s="116"/>
    </row>
    <row r="1080" spans="1:4" s="118" customFormat="1" ht="15.75">
      <c r="A1080" s="116"/>
      <c r="B1080" s="116"/>
      <c r="C1080" s="116"/>
    </row>
    <row r="1081" spans="1:4" s="118" customFormat="1" ht="15.75">
      <c r="A1081" s="116"/>
      <c r="B1081" s="116"/>
      <c r="C1081" s="116"/>
      <c r="D1081" s="116"/>
    </row>
    <row r="1082" spans="1:4" s="118" customFormat="1" ht="15.75">
      <c r="A1082" s="116"/>
      <c r="B1082" s="116"/>
      <c r="C1082" s="116"/>
      <c r="D1082" s="116"/>
    </row>
    <row r="1083" spans="1:4" s="118" customFormat="1" ht="15.75">
      <c r="A1083" s="116"/>
      <c r="B1083" s="116"/>
      <c r="C1083" s="116"/>
      <c r="D1083" s="116"/>
    </row>
    <row r="1084" spans="1:4" s="118" customFormat="1" ht="15.75">
      <c r="A1084" s="116"/>
      <c r="B1084" s="116"/>
      <c r="C1084" s="116"/>
      <c r="D1084" s="116"/>
    </row>
    <row r="1085" spans="1:4" s="118" customFormat="1" ht="15.75">
      <c r="A1085" s="116"/>
      <c r="B1085" s="116"/>
      <c r="C1085" s="116"/>
      <c r="D1085" s="116"/>
    </row>
    <row r="1086" spans="1:4" s="118" customFormat="1" ht="15.75">
      <c r="A1086" s="116"/>
      <c r="B1086" s="116"/>
      <c r="C1086" s="116"/>
      <c r="D1086" s="116"/>
    </row>
    <row r="1087" spans="1:4" s="118" customFormat="1" ht="15.75">
      <c r="A1087" s="116"/>
      <c r="B1087" s="116"/>
      <c r="C1087" s="116"/>
      <c r="D1087" s="116"/>
    </row>
    <row r="1088" spans="1:4" s="118" customFormat="1" ht="15.75">
      <c r="A1088" s="116"/>
      <c r="B1088" s="116"/>
      <c r="C1088" s="116"/>
      <c r="D1088" s="116"/>
    </row>
    <row r="1089" spans="1:16" s="118" customFormat="1" ht="15.75">
      <c r="A1089" s="116"/>
      <c r="B1089" s="116"/>
      <c r="C1089" s="116"/>
      <c r="D1089" s="116"/>
    </row>
    <row r="1090" spans="1:16" s="118" customFormat="1" ht="15.75">
      <c r="A1090" s="116"/>
      <c r="B1090" s="116"/>
      <c r="C1090" s="116"/>
      <c r="D1090" s="116"/>
    </row>
    <row r="1091" spans="1:16" s="118" customFormat="1" ht="15.75">
      <c r="A1091" s="116"/>
      <c r="B1091" s="116"/>
      <c r="C1091" s="116"/>
      <c r="D1091" s="116"/>
    </row>
    <row r="1092" spans="1:16" s="118" customFormat="1" ht="15.75">
      <c r="A1092" s="116"/>
      <c r="B1092" s="116"/>
      <c r="C1092" s="116"/>
      <c r="D1092" s="116"/>
    </row>
    <row r="1093" spans="1:16" s="118" customFormat="1" ht="15.75">
      <c r="A1093" s="116"/>
      <c r="B1093" s="116"/>
      <c r="C1093" s="116"/>
      <c r="D1093" s="116"/>
    </row>
    <row r="1094" spans="1:16" s="118" customFormat="1" ht="15.75">
      <c r="A1094" s="116"/>
      <c r="B1094" s="116"/>
      <c r="C1094" s="116"/>
      <c r="E1094" s="116"/>
      <c r="F1094" s="116"/>
      <c r="G1094" s="116"/>
      <c r="H1094" s="116"/>
      <c r="I1094" s="116"/>
      <c r="J1094" s="116"/>
      <c r="K1094" s="116"/>
      <c r="L1094" s="116"/>
      <c r="M1094" s="116"/>
      <c r="N1094" s="116"/>
      <c r="O1094" s="116"/>
      <c r="P1094" s="116"/>
    </row>
    <row r="1095" spans="1:16" s="118" customFormat="1" ht="15.75">
      <c r="A1095" s="116"/>
      <c r="B1095" s="116"/>
      <c r="C1095" s="116"/>
      <c r="D1095" s="116"/>
      <c r="E1095" s="116"/>
      <c r="F1095" s="116"/>
      <c r="G1095" s="116"/>
      <c r="H1095" s="116"/>
      <c r="I1095" s="116"/>
      <c r="J1095" s="116"/>
      <c r="K1095" s="116"/>
      <c r="L1095" s="116"/>
      <c r="M1095" s="116"/>
      <c r="N1095" s="116"/>
      <c r="O1095" s="116"/>
      <c r="P1095" s="116"/>
    </row>
    <row r="1096" spans="1:16" ht="15.75">
      <c r="A1096" s="116"/>
      <c r="E1096" s="118"/>
      <c r="F1096" s="118"/>
      <c r="G1096" s="118"/>
      <c r="H1096" s="118"/>
      <c r="I1096" s="118"/>
      <c r="J1096" s="118"/>
      <c r="K1096" s="118"/>
      <c r="L1096" s="118"/>
      <c r="M1096" s="118"/>
      <c r="N1096" s="118"/>
      <c r="O1096" s="118"/>
      <c r="P1096" s="118"/>
    </row>
    <row r="1097" spans="1:16" ht="15.75">
      <c r="A1097" s="116"/>
    </row>
    <row r="1098" spans="1:16" s="118" customFormat="1" ht="15.75">
      <c r="A1098" s="116"/>
      <c r="B1098" s="116"/>
      <c r="C1098" s="116"/>
      <c r="D1098" s="116"/>
      <c r="E1098" s="116"/>
      <c r="F1098" s="116"/>
      <c r="G1098" s="116"/>
      <c r="H1098" s="116"/>
      <c r="I1098" s="116"/>
      <c r="J1098" s="116"/>
      <c r="K1098" s="116"/>
      <c r="L1098" s="116"/>
      <c r="M1098" s="116"/>
      <c r="N1098" s="116"/>
      <c r="O1098" s="116"/>
      <c r="P1098" s="116"/>
    </row>
    <row r="1099" spans="1:16" ht="15.75">
      <c r="A1099" s="116"/>
    </row>
    <row r="1100" spans="1:16" ht="15.75">
      <c r="A1100" s="116"/>
    </row>
    <row r="1101" spans="1:16" ht="15.75">
      <c r="A1101" s="116"/>
    </row>
    <row r="1102" spans="1:16" ht="15.75">
      <c r="A1102" s="116"/>
    </row>
    <row r="1103" spans="1:16" ht="15.75">
      <c r="A1103" s="116"/>
    </row>
    <row r="1104" spans="1:16" ht="15.75">
      <c r="A1104" s="116"/>
    </row>
    <row r="1105" spans="1:16" ht="15.75">
      <c r="A1105" s="116"/>
    </row>
    <row r="1106" spans="1:16" ht="15.75">
      <c r="A1106" s="116"/>
    </row>
    <row r="1107" spans="1:16" ht="15.75">
      <c r="A1107" s="116"/>
    </row>
    <row r="1108" spans="1:16" ht="15.75">
      <c r="A1108" s="116"/>
    </row>
    <row r="1109" spans="1:16" ht="15.75">
      <c r="A1109" s="116"/>
    </row>
    <row r="1110" spans="1:16" ht="15.75">
      <c r="A1110" s="116"/>
      <c r="E1110" s="118"/>
      <c r="F1110" s="118"/>
      <c r="G1110" s="118"/>
      <c r="H1110" s="118"/>
      <c r="I1110" s="118"/>
      <c r="J1110" s="118"/>
      <c r="K1110" s="118"/>
      <c r="L1110" s="118"/>
      <c r="M1110" s="118"/>
      <c r="N1110" s="118"/>
      <c r="O1110" s="118"/>
      <c r="P1110" s="118"/>
    </row>
    <row r="1111" spans="1:16" ht="15.75">
      <c r="A1111" s="116"/>
    </row>
    <row r="1112" spans="1:16" s="118" customFormat="1" ht="15.75">
      <c r="A1112" s="116"/>
      <c r="B1112" s="116"/>
      <c r="C1112" s="116"/>
      <c r="D1112" s="116"/>
      <c r="E1112" s="116"/>
      <c r="F1112" s="116"/>
      <c r="G1112" s="116"/>
      <c r="H1112" s="116"/>
      <c r="I1112" s="116"/>
      <c r="J1112" s="116"/>
      <c r="K1112" s="116"/>
      <c r="L1112" s="116"/>
      <c r="M1112" s="116"/>
      <c r="N1112" s="116"/>
      <c r="O1112" s="116"/>
      <c r="P1112" s="116"/>
    </row>
    <row r="1113" spans="1:16" ht="15.75">
      <c r="A1113" s="116"/>
    </row>
    <row r="1114" spans="1:16" ht="15.75">
      <c r="A1114" s="116"/>
    </row>
    <row r="1115" spans="1:16" ht="15.75">
      <c r="A1115" s="116"/>
    </row>
    <row r="1116" spans="1:16" ht="15.75">
      <c r="A1116" s="116"/>
    </row>
    <row r="1117" spans="1:16" ht="15.75">
      <c r="A1117" s="116"/>
    </row>
    <row r="1118" spans="1:16" ht="15.75">
      <c r="A1118" s="116"/>
    </row>
    <row r="1119" spans="1:16" ht="15.75">
      <c r="A1119" s="116"/>
    </row>
    <row r="1120" spans="1:16" ht="15.75">
      <c r="A1120" s="116"/>
    </row>
    <row r="1121" spans="1:4" ht="15.75">
      <c r="A1121" s="116"/>
    </row>
    <row r="1122" spans="1:4" ht="15.75">
      <c r="A1122" s="116"/>
    </row>
    <row r="1123" spans="1:4" ht="15.75">
      <c r="A1123" s="116"/>
    </row>
    <row r="1124" spans="1:4" ht="15.75">
      <c r="A1124" s="116"/>
    </row>
    <row r="1125" spans="1:4" ht="15.75">
      <c r="A1125" s="116"/>
    </row>
    <row r="1126" spans="1:4" ht="15.75">
      <c r="A1126" s="116"/>
    </row>
    <row r="1127" spans="1:4" ht="15.75">
      <c r="A1127" s="116"/>
    </row>
    <row r="1128" spans="1:4" ht="15.75">
      <c r="A1128" s="116"/>
    </row>
    <row r="1129" spans="1:4" ht="15.75">
      <c r="A1129" s="116"/>
    </row>
    <row r="1130" spans="1:4" ht="15.75">
      <c r="A1130" s="116"/>
    </row>
    <row r="1131" spans="1:4" ht="15.75">
      <c r="A1131" s="116"/>
    </row>
    <row r="1132" spans="1:4" ht="15.75">
      <c r="A1132" s="116"/>
      <c r="D1132" s="118"/>
    </row>
    <row r="1133" spans="1:4" ht="15.75">
      <c r="A1133" s="116"/>
    </row>
    <row r="1134" spans="1:4" ht="15.75">
      <c r="A1134" s="116"/>
    </row>
    <row r="1135" spans="1:4" ht="15.75">
      <c r="A1135" s="116"/>
    </row>
    <row r="1136" spans="1:4" ht="15.75">
      <c r="A1136" s="116"/>
    </row>
    <row r="1137" spans="1:16" ht="15.75">
      <c r="A1137" s="116"/>
    </row>
    <row r="1138" spans="1:16" ht="15.75">
      <c r="A1138" s="116"/>
    </row>
    <row r="1139" spans="1:16" ht="15.75">
      <c r="A1139" s="116"/>
    </row>
    <row r="1140" spans="1:16" ht="15.75">
      <c r="A1140" s="116"/>
    </row>
    <row r="1141" spans="1:16" ht="15.75">
      <c r="A1141" s="116"/>
    </row>
    <row r="1142" spans="1:16" ht="15.75">
      <c r="A1142" s="116"/>
    </row>
    <row r="1143" spans="1:16" ht="15.75">
      <c r="A1143" s="116"/>
    </row>
    <row r="1144" spans="1:16" ht="15.75">
      <c r="A1144" s="116"/>
    </row>
    <row r="1145" spans="1:16" ht="15.75">
      <c r="A1145" s="116"/>
    </row>
    <row r="1146" spans="1:16" ht="15.75">
      <c r="A1146" s="116"/>
    </row>
    <row r="1147" spans="1:16" ht="15.75">
      <c r="A1147" s="116"/>
    </row>
    <row r="1148" spans="1:16" ht="15.75">
      <c r="A1148" s="116"/>
      <c r="E1148" s="118"/>
      <c r="F1148" s="118"/>
      <c r="G1148" s="118"/>
      <c r="H1148" s="118"/>
      <c r="I1148" s="118"/>
      <c r="J1148" s="118"/>
      <c r="K1148" s="118"/>
      <c r="L1148" s="118"/>
      <c r="M1148" s="118"/>
      <c r="N1148" s="118"/>
      <c r="O1148" s="118"/>
      <c r="P1148" s="118"/>
    </row>
    <row r="1149" spans="1:16" ht="15.75">
      <c r="A1149" s="116"/>
    </row>
    <row r="1150" spans="1:16" s="118" customFormat="1" ht="15.75">
      <c r="A1150" s="116"/>
      <c r="B1150" s="116"/>
      <c r="C1150" s="116"/>
      <c r="D1150" s="116"/>
      <c r="E1150" s="116"/>
      <c r="F1150" s="116"/>
      <c r="G1150" s="116"/>
      <c r="H1150" s="116"/>
      <c r="I1150" s="116"/>
      <c r="J1150" s="116"/>
      <c r="K1150" s="116"/>
      <c r="L1150" s="116"/>
      <c r="M1150" s="116"/>
      <c r="N1150" s="116"/>
      <c r="O1150" s="116"/>
      <c r="P1150" s="116"/>
    </row>
    <row r="1151" spans="1:16" ht="15.75">
      <c r="A1151" s="116"/>
    </row>
    <row r="1152" spans="1:16" ht="15.75">
      <c r="A1152" s="116"/>
      <c r="D1152" s="118"/>
    </row>
    <row r="1153" spans="1:16" ht="15.75">
      <c r="A1153" s="116"/>
    </row>
    <row r="1154" spans="1:16" ht="15.75">
      <c r="A1154" s="116"/>
    </row>
    <row r="1155" spans="1:16" ht="15.75">
      <c r="A1155" s="116"/>
    </row>
    <row r="1156" spans="1:16" ht="15.75">
      <c r="A1156" s="116"/>
    </row>
    <row r="1157" spans="1:16" ht="15.75">
      <c r="A1157" s="116"/>
      <c r="D1157" s="118"/>
    </row>
    <row r="1158" spans="1:16" ht="15.75">
      <c r="A1158" s="116"/>
    </row>
    <row r="1159" spans="1:16" ht="15.75">
      <c r="A1159" s="116"/>
    </row>
    <row r="1160" spans="1:16" ht="15.75">
      <c r="A1160" s="116"/>
    </row>
    <row r="1161" spans="1:16" ht="15.75">
      <c r="A1161" s="116"/>
    </row>
    <row r="1162" spans="1:16" ht="15.75">
      <c r="A1162" s="116"/>
    </row>
    <row r="1163" spans="1:16" ht="15.75">
      <c r="A1163" s="116"/>
    </row>
    <row r="1164" spans="1:16" ht="15.75">
      <c r="A1164" s="116"/>
    </row>
    <row r="1165" spans="1:16" ht="15.75">
      <c r="A1165" s="116"/>
    </row>
    <row r="1166" spans="1:16" ht="15.75">
      <c r="A1166" s="116"/>
    </row>
    <row r="1167" spans="1:16" ht="15.75">
      <c r="A1167" s="116"/>
    </row>
    <row r="1168" spans="1:16" ht="15.75">
      <c r="A1168" s="116"/>
      <c r="E1168" s="118"/>
      <c r="F1168" s="118"/>
      <c r="G1168" s="118"/>
      <c r="H1168" s="118"/>
      <c r="I1168" s="118"/>
      <c r="J1168" s="118"/>
      <c r="K1168" s="118"/>
      <c r="L1168" s="118"/>
      <c r="M1168" s="118"/>
      <c r="N1168" s="118"/>
      <c r="O1168" s="118"/>
      <c r="P1168" s="118"/>
    </row>
    <row r="1169" spans="1:16" ht="15.75">
      <c r="A1169" s="116"/>
    </row>
    <row r="1170" spans="1:16" s="118" customFormat="1" ht="15.75">
      <c r="A1170" s="116"/>
      <c r="B1170" s="116"/>
      <c r="C1170" s="116"/>
      <c r="D1170" s="116"/>
      <c r="E1170" s="116"/>
      <c r="F1170" s="116"/>
      <c r="G1170" s="116"/>
      <c r="H1170" s="116"/>
      <c r="I1170" s="116"/>
      <c r="J1170" s="116"/>
      <c r="K1170" s="116"/>
      <c r="L1170" s="116"/>
      <c r="M1170" s="116"/>
      <c r="N1170" s="116"/>
      <c r="O1170" s="116"/>
      <c r="P1170" s="116"/>
    </row>
    <row r="1171" spans="1:16" ht="15.75">
      <c r="A1171" s="116"/>
    </row>
    <row r="1172" spans="1:16" ht="15.75">
      <c r="A1172" s="116"/>
    </row>
    <row r="1173" spans="1:16" ht="15.75">
      <c r="A1173" s="116"/>
      <c r="E1173" s="118"/>
      <c r="F1173" s="118"/>
      <c r="G1173" s="118"/>
      <c r="H1173" s="118"/>
      <c r="I1173" s="118"/>
      <c r="J1173" s="118"/>
      <c r="K1173" s="118"/>
      <c r="L1173" s="118"/>
      <c r="M1173" s="118"/>
      <c r="N1173" s="118"/>
      <c r="O1173" s="118"/>
      <c r="P1173" s="118"/>
    </row>
    <row r="1174" spans="1:16" ht="15.75">
      <c r="A1174" s="116"/>
    </row>
    <row r="1175" spans="1:16" s="118" customFormat="1" ht="15.75">
      <c r="A1175" s="116"/>
      <c r="B1175" s="116"/>
      <c r="C1175" s="116"/>
      <c r="D1175" s="116"/>
      <c r="E1175" s="116"/>
      <c r="F1175" s="116"/>
      <c r="G1175" s="116"/>
      <c r="H1175" s="116"/>
      <c r="I1175" s="116"/>
      <c r="J1175" s="116"/>
      <c r="K1175" s="116"/>
      <c r="L1175" s="116"/>
      <c r="M1175" s="116"/>
      <c r="N1175" s="116"/>
      <c r="O1175" s="116"/>
      <c r="P1175" s="116"/>
    </row>
    <row r="1176" spans="1:16" ht="15.75">
      <c r="A1176" s="116"/>
    </row>
    <row r="1177" spans="1:16" ht="15.75">
      <c r="A1177" s="116"/>
    </row>
    <row r="1178" spans="1:16" ht="15.75">
      <c r="A1178" s="116"/>
    </row>
    <row r="1179" spans="1:16" ht="15.75">
      <c r="A1179" s="116"/>
    </row>
    <row r="1180" spans="1:16" ht="15.75">
      <c r="A1180" s="116"/>
    </row>
    <row r="1181" spans="1:16" ht="15.75">
      <c r="A1181" s="116"/>
    </row>
    <row r="1182" spans="1:16" ht="15.75">
      <c r="A1182" s="116"/>
    </row>
    <row r="1183" spans="1:16" ht="15.75">
      <c r="A1183" s="116"/>
    </row>
    <row r="1184" spans="1:16" ht="15.75">
      <c r="A1184" s="116"/>
    </row>
    <row r="1185" spans="1:1" ht="15.75">
      <c r="A1185" s="116"/>
    </row>
    <row r="1186" spans="1:1" ht="15.75">
      <c r="A1186" s="116"/>
    </row>
    <row r="1187" spans="1:1" ht="15.75">
      <c r="A1187" s="116"/>
    </row>
    <row r="1188" spans="1:1" ht="15.75">
      <c r="A1188" s="116"/>
    </row>
    <row r="1189" spans="1:1" ht="15.75">
      <c r="A1189" s="116"/>
    </row>
    <row r="1190" spans="1:1" ht="15.75">
      <c r="A1190" s="116"/>
    </row>
    <row r="1191" spans="1:1" ht="15.75">
      <c r="A1191" s="116"/>
    </row>
    <row r="1192" spans="1:1" ht="15.75">
      <c r="A1192" s="116"/>
    </row>
    <row r="1193" spans="1:1" ht="15.75">
      <c r="A1193" s="116"/>
    </row>
    <row r="1194" spans="1:1" ht="15.75">
      <c r="A1194" s="116"/>
    </row>
    <row r="1195" spans="1:1" ht="15.75">
      <c r="A1195" s="116"/>
    </row>
    <row r="1196" spans="1:1" ht="15.75">
      <c r="A1196" s="116"/>
    </row>
    <row r="1197" spans="1:1" ht="15.75">
      <c r="A1197" s="116"/>
    </row>
    <row r="1198" spans="1:1" ht="15.75">
      <c r="A1198" s="116"/>
    </row>
    <row r="1199" spans="1:1" ht="15.75">
      <c r="A1199" s="116"/>
    </row>
    <row r="1200" spans="1:1" ht="15.75">
      <c r="A1200" s="116"/>
    </row>
    <row r="1201" spans="1:1" ht="15.75">
      <c r="A1201" s="116"/>
    </row>
    <row r="1202" spans="1:1" ht="15.75">
      <c r="A1202" s="116"/>
    </row>
    <row r="1203" spans="1:1" ht="15.75">
      <c r="A1203" s="116"/>
    </row>
    <row r="1204" spans="1:1" ht="15.75">
      <c r="A1204" s="116"/>
    </row>
    <row r="1205" spans="1:1" ht="15.75">
      <c r="A1205" s="116"/>
    </row>
    <row r="1206" spans="1:1" ht="15.75">
      <c r="A1206" s="116"/>
    </row>
    <row r="1207" spans="1:1" ht="15.75">
      <c r="A1207" s="116"/>
    </row>
    <row r="1208" spans="1:1" ht="15.75">
      <c r="A1208" s="116"/>
    </row>
    <row r="1209" spans="1:1" ht="15.75">
      <c r="A1209" s="116"/>
    </row>
    <row r="1210" spans="1:1" ht="15.75">
      <c r="A1210" s="116"/>
    </row>
    <row r="1211" spans="1:1" ht="15.75">
      <c r="A1211" s="116"/>
    </row>
    <row r="1212" spans="1:1" ht="15.75">
      <c r="A1212" s="116"/>
    </row>
    <row r="1213" spans="1:1" ht="15.75">
      <c r="A1213" s="116"/>
    </row>
    <row r="1214" spans="1:1" ht="15.75">
      <c r="A1214" s="116"/>
    </row>
    <row r="1215" spans="1:1" ht="15.75">
      <c r="A1215" s="116"/>
    </row>
    <row r="1216" spans="1:1" ht="15.75">
      <c r="A1216" s="116"/>
    </row>
    <row r="1217" spans="1:1" ht="15.75">
      <c r="A1217" s="116"/>
    </row>
    <row r="1218" spans="1:1" ht="15.75">
      <c r="A1218" s="116"/>
    </row>
    <row r="1219" spans="1:1" ht="15.75">
      <c r="A1219" s="116"/>
    </row>
    <row r="1220" spans="1:1" ht="15.75">
      <c r="A1220" s="116"/>
    </row>
    <row r="1221" spans="1:1" ht="15.75">
      <c r="A1221" s="116"/>
    </row>
    <row r="1222" spans="1:1" ht="15.75">
      <c r="A1222" s="116"/>
    </row>
    <row r="1223" spans="1:1" ht="15.75">
      <c r="A1223" s="116"/>
    </row>
    <row r="1224" spans="1:1" ht="15.75">
      <c r="A1224" s="116"/>
    </row>
    <row r="1225" spans="1:1" ht="15.75">
      <c r="A1225" s="116"/>
    </row>
    <row r="1226" spans="1:1" ht="15.75">
      <c r="A1226" s="116"/>
    </row>
    <row r="1227" spans="1:1" ht="15.75">
      <c r="A1227" s="116"/>
    </row>
    <row r="1228" spans="1:1" ht="15.75">
      <c r="A1228" s="116"/>
    </row>
    <row r="1229" spans="1:1" ht="15.75">
      <c r="A1229" s="116"/>
    </row>
    <row r="1230" spans="1:1" ht="15.75">
      <c r="A1230" s="116"/>
    </row>
    <row r="1231" spans="1:1" ht="15.75">
      <c r="A1231" s="116"/>
    </row>
    <row r="1232" spans="1:1" ht="15.75">
      <c r="A1232" s="116"/>
    </row>
    <row r="1233" spans="1:1" ht="15.75">
      <c r="A1233" s="116"/>
    </row>
    <row r="1234" spans="1:1" ht="15.75">
      <c r="A1234" s="116"/>
    </row>
    <row r="1235" spans="1:1" ht="15.75">
      <c r="A1235" s="116"/>
    </row>
    <row r="1236" spans="1:1" ht="15.75">
      <c r="A1236" s="116"/>
    </row>
    <row r="1237" spans="1:1" ht="15.75">
      <c r="A1237" s="116"/>
    </row>
    <row r="1238" spans="1:1" ht="15.75">
      <c r="A1238" s="116"/>
    </row>
    <row r="1239" spans="1:1" ht="15.75">
      <c r="A1239" s="116"/>
    </row>
    <row r="1240" spans="1:1" ht="15.75">
      <c r="A1240" s="116"/>
    </row>
    <row r="1241" spans="1:1" ht="15.75">
      <c r="A1241" s="116"/>
    </row>
    <row r="1242" spans="1:1" ht="15.75">
      <c r="A1242" s="116"/>
    </row>
    <row r="1243" spans="1:1" ht="15.75">
      <c r="A1243" s="116"/>
    </row>
    <row r="1244" spans="1:1" ht="15.75">
      <c r="A1244" s="116"/>
    </row>
    <row r="1245" spans="1:1" ht="15.75">
      <c r="A1245" s="116"/>
    </row>
    <row r="1246" spans="1:1" ht="15.75">
      <c r="A1246" s="116"/>
    </row>
    <row r="1247" spans="1:1" ht="15.75">
      <c r="A1247" s="116"/>
    </row>
    <row r="1248" spans="1:1" ht="15.75">
      <c r="A1248" s="116"/>
    </row>
    <row r="1249" spans="1:1" ht="15.75">
      <c r="A1249" s="116"/>
    </row>
    <row r="1250" spans="1:1" ht="15.75">
      <c r="A1250" s="116"/>
    </row>
    <row r="1251" spans="1:1" ht="15.75">
      <c r="A1251" s="116"/>
    </row>
    <row r="1252" spans="1:1" ht="15.75">
      <c r="A1252" s="116"/>
    </row>
    <row r="1253" spans="1:1" ht="15.75">
      <c r="A1253" s="116"/>
    </row>
    <row r="1254" spans="1:1" ht="15.75">
      <c r="A1254" s="116"/>
    </row>
    <row r="1255" spans="1:1" ht="15.75">
      <c r="A1255" s="116"/>
    </row>
    <row r="1256" spans="1:1" ht="15.75">
      <c r="A1256" s="116"/>
    </row>
    <row r="1257" spans="1:1" ht="15.75">
      <c r="A1257" s="116"/>
    </row>
    <row r="1258" spans="1:1" ht="15.75">
      <c r="A1258" s="116"/>
    </row>
    <row r="1259" spans="1:1" ht="15.75">
      <c r="A1259" s="116"/>
    </row>
    <row r="1260" spans="1:1" ht="15.75">
      <c r="A1260" s="116"/>
    </row>
    <row r="1261" spans="1:1" ht="15.75">
      <c r="A1261" s="116"/>
    </row>
    <row r="1262" spans="1:1" ht="15.75">
      <c r="A1262" s="116"/>
    </row>
    <row r="1263" spans="1:1" ht="15.75">
      <c r="A1263" s="116"/>
    </row>
    <row r="1264" spans="1:1" ht="15.75">
      <c r="A1264" s="116"/>
    </row>
    <row r="1265" spans="1:1" ht="15.75">
      <c r="A1265" s="116"/>
    </row>
    <row r="1266" spans="1:1" ht="15.75">
      <c r="A1266" s="116"/>
    </row>
    <row r="1267" spans="1:1" ht="15.75">
      <c r="A1267" s="116"/>
    </row>
    <row r="1268" spans="1:1" ht="15.75">
      <c r="A1268" s="116"/>
    </row>
    <row r="1269" spans="1:1" ht="15.75">
      <c r="A1269" s="116"/>
    </row>
    <row r="1270" spans="1:1" ht="15.75">
      <c r="A1270" s="116"/>
    </row>
    <row r="1271" spans="1:1" ht="15.75">
      <c r="A1271" s="116"/>
    </row>
    <row r="1272" spans="1:1" ht="15.75">
      <c r="A1272" s="116"/>
    </row>
    <row r="1273" spans="1:1" ht="15.75">
      <c r="A1273" s="116"/>
    </row>
    <row r="1274" spans="1:1" ht="15.75">
      <c r="A1274" s="116"/>
    </row>
    <row r="1275" spans="1:1" ht="15.75">
      <c r="A1275" s="116"/>
    </row>
    <row r="1276" spans="1:1" ht="15.75">
      <c r="A1276" s="116"/>
    </row>
    <row r="1277" spans="1:1" ht="15.75">
      <c r="A1277" s="116"/>
    </row>
    <row r="1278" spans="1:1" ht="15.75">
      <c r="A1278" s="116"/>
    </row>
    <row r="1279" spans="1:1" ht="15.75">
      <c r="A1279" s="116"/>
    </row>
    <row r="1280" spans="1:1" ht="15.75">
      <c r="A1280" s="116"/>
    </row>
  </sheetData>
  <mergeCells count="44">
    <mergeCell ref="J520:J521"/>
    <mergeCell ref="Q520:Q521"/>
    <mergeCell ref="Q546:Q547"/>
    <mergeCell ref="A803:Q803"/>
    <mergeCell ref="A804:Q804"/>
    <mergeCell ref="Q637:Q638"/>
    <mergeCell ref="Q652:Q654"/>
    <mergeCell ref="A801:C801"/>
    <mergeCell ref="A802:Q802"/>
    <mergeCell ref="Q641:Q643"/>
    <mergeCell ref="Q11:Q14"/>
    <mergeCell ref="O12:P12"/>
    <mergeCell ref="Q602:Q603"/>
    <mergeCell ref="O13:O14"/>
    <mergeCell ref="P13:P14"/>
    <mergeCell ref="Q192:Q193"/>
    <mergeCell ref="Q473:Q474"/>
    <mergeCell ref="Q492:Q493"/>
    <mergeCell ref="M12:M14"/>
    <mergeCell ref="N12:N14"/>
    <mergeCell ref="G13:G14"/>
    <mergeCell ref="M286:M287"/>
    <mergeCell ref="N286:N287"/>
    <mergeCell ref="L11:L14"/>
    <mergeCell ref="M11:P11"/>
    <mergeCell ref="N192:N193"/>
    <mergeCell ref="F11:J11"/>
    <mergeCell ref="H13:I13"/>
    <mergeCell ref="F12:F14"/>
    <mergeCell ref="G12:I12"/>
    <mergeCell ref="J12:J14"/>
    <mergeCell ref="O192:O193"/>
    <mergeCell ref="O286:O287"/>
    <mergeCell ref="A1:Q1"/>
    <mergeCell ref="A2:Q2"/>
    <mergeCell ref="A5:Q5"/>
    <mergeCell ref="A10:C10"/>
    <mergeCell ref="D10:Q10"/>
    <mergeCell ref="A8:P8"/>
    <mergeCell ref="A11:A14"/>
    <mergeCell ref="B11:B14"/>
    <mergeCell ref="C11:C14"/>
    <mergeCell ref="D11:D14"/>
    <mergeCell ref="E11:E14"/>
  </mergeCells>
  <pageMargins left="0.2" right="0.2" top="0.25" bottom="0.25" header="0.3" footer="0.3"/>
  <pageSetup paperSize="9" scale="90" orientation="landscape" verticalDpi="0" r:id="rId1"/>
  <drawing r:id="rId2"/>
</worksheet>
</file>

<file path=xl/worksheets/sheet2.xml><?xml version="1.0" encoding="utf-8"?>
<worksheet xmlns="http://schemas.openxmlformats.org/spreadsheetml/2006/main" xmlns:r="http://schemas.openxmlformats.org/officeDocument/2006/relationships">
  <sheetPr>
    <tabColor rgb="FF00B0F0"/>
  </sheetPr>
  <dimension ref="A1:J42"/>
  <sheetViews>
    <sheetView workbookViewId="0">
      <selection activeCell="G11" sqref="G11"/>
    </sheetView>
  </sheetViews>
  <sheetFormatPr defaultRowHeight="15"/>
  <cols>
    <col min="1" max="1" width="5.625" style="3" customWidth="1"/>
    <col min="2" max="2" width="53.25" style="1" customWidth="1"/>
    <col min="3" max="3" width="0.125" style="1" hidden="1" customWidth="1"/>
    <col min="4" max="4" width="12.5" style="1" hidden="1" customWidth="1"/>
    <col min="5" max="5" width="14.625" style="1" customWidth="1"/>
    <col min="6" max="6" width="14.5" style="1" customWidth="1"/>
    <col min="7" max="7" width="16.125" style="1" customWidth="1"/>
    <col min="8" max="8" width="14.5" style="1" customWidth="1"/>
    <col min="9" max="16384" width="9" style="1"/>
  </cols>
  <sheetData>
    <row r="1" spans="1:5" ht="15.75">
      <c r="A1" s="17" t="s">
        <v>667</v>
      </c>
      <c r="B1" s="17"/>
      <c r="E1" s="970" t="s">
        <v>1672</v>
      </c>
    </row>
    <row r="2" spans="1:5" ht="15.75">
      <c r="A2" s="17" t="s">
        <v>668</v>
      </c>
      <c r="B2" s="18"/>
    </row>
    <row r="3" spans="1:5" ht="15.75">
      <c r="A3" s="17"/>
      <c r="B3" s="18"/>
    </row>
    <row r="4" spans="1:5" ht="36.75" customHeight="1">
      <c r="A4" s="1026" t="s">
        <v>1761</v>
      </c>
      <c r="B4" s="1027"/>
      <c r="C4" s="1027"/>
      <c r="D4" s="1027"/>
      <c r="E4" s="1027"/>
    </row>
    <row r="5" spans="1:5" ht="18.75">
      <c r="A5" s="19"/>
      <c r="B5" s="19"/>
    </row>
    <row r="6" spans="1:5" ht="15.75">
      <c r="A6" s="20"/>
      <c r="B6" s="1019" t="s">
        <v>808</v>
      </c>
      <c r="C6" s="1019"/>
      <c r="D6" s="1019"/>
      <c r="E6" s="1019"/>
    </row>
    <row r="7" spans="1:5" ht="22.5" customHeight="1">
      <c r="A7" s="1020" t="s">
        <v>76</v>
      </c>
      <c r="B7" s="1022" t="s">
        <v>670</v>
      </c>
      <c r="C7" s="1024" t="s">
        <v>1233</v>
      </c>
      <c r="D7" s="1024"/>
      <c r="E7" s="1020" t="s">
        <v>1750</v>
      </c>
    </row>
    <row r="8" spans="1:5" ht="37.5" customHeight="1">
      <c r="A8" s="1021"/>
      <c r="B8" s="1023"/>
      <c r="C8" s="708" t="s">
        <v>827</v>
      </c>
      <c r="D8" s="708" t="s">
        <v>1235</v>
      </c>
      <c r="E8" s="1025"/>
    </row>
    <row r="9" spans="1:5" ht="17.25" customHeight="1">
      <c r="A9" s="580">
        <v>1</v>
      </c>
      <c r="B9" s="580">
        <v>2</v>
      </c>
      <c r="C9" s="100">
        <v>3</v>
      </c>
      <c r="D9" s="100">
        <v>4</v>
      </c>
      <c r="E9" s="100">
        <v>5</v>
      </c>
    </row>
    <row r="10" spans="1:5" s="2" customFormat="1" ht="18" customHeight="1">
      <c r="A10" s="685" t="s">
        <v>78</v>
      </c>
      <c r="B10" s="712" t="s">
        <v>1208</v>
      </c>
      <c r="C10" s="97"/>
      <c r="D10" s="97"/>
      <c r="E10" s="97"/>
    </row>
    <row r="11" spans="1:5" s="2" customFormat="1" ht="18" customHeight="1">
      <c r="A11" s="685" t="s">
        <v>84</v>
      </c>
      <c r="B11" s="38" t="s">
        <v>1638</v>
      </c>
      <c r="C11" s="38" t="e">
        <f>C12+C16</f>
        <v>#REF!</v>
      </c>
      <c r="D11" s="38">
        <f>D12+D16</f>
        <v>376793234.653</v>
      </c>
      <c r="E11" s="38">
        <f>E12+E16</f>
        <v>334898000</v>
      </c>
    </row>
    <row r="12" spans="1:5" s="2" customFormat="1" ht="18.75" customHeight="1">
      <c r="A12" s="77">
        <v>1</v>
      </c>
      <c r="B12" s="41" t="s">
        <v>1164</v>
      </c>
      <c r="C12" s="38">
        <f>SUM(C13:C15)</f>
        <v>60324000</v>
      </c>
      <c r="D12" s="38">
        <f>SUM(D13:D15)</f>
        <v>115647536.653</v>
      </c>
      <c r="E12" s="38">
        <f>E13+E14</f>
        <v>54252000</v>
      </c>
    </row>
    <row r="13" spans="1:5" ht="18" customHeight="1">
      <c r="A13" s="76"/>
      <c r="B13" s="39" t="s">
        <v>811</v>
      </c>
      <c r="C13" s="95">
        <f>'Thu 2019 được hưởng'!K58+'Thu 2019 được hưởng'!K42</f>
        <v>2550000</v>
      </c>
      <c r="D13" s="95">
        <v>2550000</v>
      </c>
      <c r="E13" s="614">
        <v>1000000</v>
      </c>
    </row>
    <row r="14" spans="1:5" ht="18" customHeight="1">
      <c r="A14" s="76"/>
      <c r="B14" s="39" t="s">
        <v>198</v>
      </c>
      <c r="C14" s="95">
        <f>'Thu 2019 được hưởng'!K9-'Biểu 02'!C13</f>
        <v>57774000</v>
      </c>
      <c r="D14" s="95">
        <v>57774000</v>
      </c>
      <c r="E14" s="95">
        <f>52452000+800000</f>
        <v>53252000</v>
      </c>
    </row>
    <row r="15" spans="1:5" ht="18" customHeight="1">
      <c r="A15" s="76"/>
      <c r="B15" s="39" t="s">
        <v>547</v>
      </c>
      <c r="C15" s="95"/>
      <c r="D15" s="95">
        <v>55323536.652999997</v>
      </c>
      <c r="E15" s="95"/>
    </row>
    <row r="16" spans="1:5" s="2" customFormat="1" ht="18" customHeight="1">
      <c r="A16" s="77">
        <v>2</v>
      </c>
      <c r="B16" s="38" t="s">
        <v>199</v>
      </c>
      <c r="C16" s="38" t="e">
        <f>C17+C18</f>
        <v>#REF!</v>
      </c>
      <c r="D16" s="38">
        <f>D17+D18</f>
        <v>261145698</v>
      </c>
      <c r="E16" s="38">
        <f>E17</f>
        <v>280646000</v>
      </c>
    </row>
    <row r="17" spans="1:7" ht="18" customHeight="1">
      <c r="A17" s="76"/>
      <c r="B17" s="39" t="s">
        <v>718</v>
      </c>
      <c r="C17" s="95" t="e">
        <f>C19-C12</f>
        <v>#REF!</v>
      </c>
      <c r="D17" s="95">
        <v>212611000</v>
      </c>
      <c r="E17" s="95">
        <v>280646000</v>
      </c>
    </row>
    <row r="18" spans="1:7" ht="18" customHeight="1">
      <c r="A18" s="76"/>
      <c r="B18" s="39" t="s">
        <v>719</v>
      </c>
      <c r="C18" s="95"/>
      <c r="D18" s="95">
        <f>49000000-465302</f>
        <v>48534698</v>
      </c>
      <c r="E18" s="95"/>
    </row>
    <row r="19" spans="1:7" s="2" customFormat="1" ht="22.5" customHeight="1">
      <c r="A19" s="77" t="s">
        <v>85</v>
      </c>
      <c r="B19" s="38" t="s">
        <v>1210</v>
      </c>
      <c r="C19" s="38" t="e">
        <f>C20+C21+1</f>
        <v>#REF!</v>
      </c>
      <c r="D19" s="38" t="e">
        <f>D20+D21+1</f>
        <v>#REF!</v>
      </c>
      <c r="E19" s="38">
        <f>E20+E21</f>
        <v>334898000</v>
      </c>
    </row>
    <row r="20" spans="1:7" ht="18" customHeight="1">
      <c r="A20" s="677">
        <v>1</v>
      </c>
      <c r="B20" s="42" t="s">
        <v>1211</v>
      </c>
      <c r="C20" s="95" t="e">
        <f>'Biểu 04'!#REF!</f>
        <v>#REF!</v>
      </c>
      <c r="D20" s="95" t="e">
        <f>'Biểu 04'!#REF!</f>
        <v>#REF!</v>
      </c>
      <c r="E20" s="95">
        <v>309101000</v>
      </c>
      <c r="G20" s="330"/>
    </row>
    <row r="21" spans="1:7" ht="18" customHeight="1">
      <c r="A21" s="677">
        <v>2</v>
      </c>
      <c r="B21" s="678" t="s">
        <v>720</v>
      </c>
      <c r="C21" s="96">
        <f>C22+C23</f>
        <v>26186999.91047572</v>
      </c>
      <c r="D21" s="96">
        <f>D22+D23</f>
        <v>72091000</v>
      </c>
      <c r="E21" s="96">
        <f>E22</f>
        <v>25797000</v>
      </c>
      <c r="F21" s="619"/>
    </row>
    <row r="22" spans="1:7" ht="18" customHeight="1">
      <c r="A22" s="677"/>
      <c r="B22" s="678" t="s">
        <v>718</v>
      </c>
      <c r="C22" s="95">
        <f>C31</f>
        <v>26186999.91047572</v>
      </c>
      <c r="D22" s="95">
        <v>26187000</v>
      </c>
      <c r="E22" s="95">
        <v>25797000</v>
      </c>
    </row>
    <row r="23" spans="1:7" ht="18" customHeight="1">
      <c r="A23" s="344"/>
      <c r="B23" s="679" t="s">
        <v>719</v>
      </c>
      <c r="C23" s="95"/>
      <c r="D23" s="95">
        <v>45904000</v>
      </c>
      <c r="E23" s="95"/>
      <c r="G23" s="330"/>
    </row>
    <row r="24" spans="1:7" s="4" customFormat="1" ht="18.75" customHeight="1">
      <c r="A24" s="685" t="s">
        <v>79</v>
      </c>
      <c r="B24" s="713" t="s">
        <v>519</v>
      </c>
      <c r="C24" s="100"/>
      <c r="D24" s="100"/>
      <c r="E24" s="100"/>
    </row>
    <row r="25" spans="1:7" s="2" customFormat="1" ht="21.75" customHeight="1">
      <c r="A25" s="77" t="s">
        <v>84</v>
      </c>
      <c r="B25" s="93" t="s">
        <v>1200</v>
      </c>
      <c r="C25" s="97">
        <f>C26+C30</f>
        <v>30352999.91047572</v>
      </c>
      <c r="D25" s="97">
        <f>D26+D30</f>
        <v>77497000</v>
      </c>
      <c r="E25" s="97">
        <f>E26+E30</f>
        <v>29925000</v>
      </c>
    </row>
    <row r="26" spans="1:7" s="2" customFormat="1" ht="18.75" customHeight="1">
      <c r="A26" s="77">
        <v>1</v>
      </c>
      <c r="B26" s="38" t="s">
        <v>104</v>
      </c>
      <c r="C26" s="186">
        <f>C27+C28+C29</f>
        <v>4166000</v>
      </c>
      <c r="D26" s="186">
        <f>D27+D28+D29</f>
        <v>5406000</v>
      </c>
      <c r="E26" s="186">
        <f>E27+E28+E29</f>
        <v>4128000</v>
      </c>
    </row>
    <row r="27" spans="1:7" ht="17.25" customHeight="1">
      <c r="A27" s="76"/>
      <c r="B27" s="39" t="s">
        <v>812</v>
      </c>
      <c r="C27" s="95">
        <f>'Thu 2019 được hưởng'!L62+'Thu 2019 được hưởng'!L45+'Thu 2019 được hưởng'!L34</f>
        <v>1650000</v>
      </c>
      <c r="D27" s="95">
        <v>1650000</v>
      </c>
      <c r="E27" s="95">
        <v>550000</v>
      </c>
    </row>
    <row r="28" spans="1:7" ht="18" customHeight="1">
      <c r="A28" s="76"/>
      <c r="B28" s="39" t="s">
        <v>198</v>
      </c>
      <c r="C28" s="95">
        <f>'Thu 2019 được hưởng'!L9-'Biểu 02'!C27</f>
        <v>2516000</v>
      </c>
      <c r="D28" s="95">
        <v>2516000</v>
      </c>
      <c r="E28" s="95">
        <f>2578000+1000000</f>
        <v>3578000</v>
      </c>
    </row>
    <row r="29" spans="1:7" ht="15.75">
      <c r="A29" s="76"/>
      <c r="B29" s="39" t="s">
        <v>832</v>
      </c>
      <c r="C29" s="95"/>
      <c r="D29" s="95">
        <v>1240000</v>
      </c>
      <c r="E29" s="95"/>
    </row>
    <row r="30" spans="1:7" s="2" customFormat="1" ht="19.5" customHeight="1">
      <c r="A30" s="77">
        <v>2</v>
      </c>
      <c r="B30" s="38" t="s">
        <v>1209</v>
      </c>
      <c r="C30" s="38">
        <f>C31</f>
        <v>26186999.91047572</v>
      </c>
      <c r="D30" s="38">
        <f>D31+D32</f>
        <v>72091000</v>
      </c>
      <c r="E30" s="38">
        <f>E31+E32</f>
        <v>25797000</v>
      </c>
    </row>
    <row r="31" spans="1:7" ht="18" customHeight="1">
      <c r="A31" s="76"/>
      <c r="B31" s="39" t="s">
        <v>718</v>
      </c>
      <c r="C31" s="95">
        <f>C33-C26</f>
        <v>26186999.91047572</v>
      </c>
      <c r="D31" s="95">
        <v>26187000</v>
      </c>
      <c r="E31" s="95">
        <v>25797000</v>
      </c>
    </row>
    <row r="32" spans="1:7" ht="16.5" customHeight="1">
      <c r="A32" s="76"/>
      <c r="B32" s="39" t="s">
        <v>719</v>
      </c>
      <c r="C32" s="95"/>
      <c r="D32" s="95">
        <v>45904000</v>
      </c>
      <c r="E32" s="95"/>
    </row>
    <row r="33" spans="1:10" s="2" customFormat="1" ht="20.25" customHeight="1">
      <c r="A33" s="77" t="s">
        <v>85</v>
      </c>
      <c r="B33" s="93" t="s">
        <v>771</v>
      </c>
      <c r="C33" s="97">
        <f>'TH chi xa 2020'!C9</f>
        <v>30352999.91047572</v>
      </c>
      <c r="D33" s="97">
        <v>77497000</v>
      </c>
      <c r="E33" s="97">
        <v>29925000</v>
      </c>
    </row>
    <row r="34" spans="1:10" s="2" customFormat="1" ht="15.75">
      <c r="A34" s="88"/>
      <c r="B34" s="141"/>
    </row>
    <row r="35" spans="1:10" ht="18" customHeight="1">
      <c r="A35" s="20"/>
      <c r="B35" s="18"/>
      <c r="C35" s="352" t="s">
        <v>1237</v>
      </c>
      <c r="D35" s="352"/>
      <c r="E35" s="356"/>
      <c r="F35" s="356"/>
    </row>
    <row r="36" spans="1:10" ht="18" customHeight="1">
      <c r="A36" s="20"/>
      <c r="B36" s="18"/>
      <c r="C36" s="1016"/>
      <c r="D36" s="1016"/>
      <c r="E36" s="1016"/>
      <c r="F36" s="182"/>
      <c r="G36" s="182"/>
      <c r="H36" s="182"/>
      <c r="I36" s="182"/>
      <c r="J36" s="182"/>
    </row>
    <row r="37" spans="1:10" ht="15.75">
      <c r="A37" s="20"/>
      <c r="B37" s="18"/>
      <c r="C37" s="1017"/>
      <c r="D37" s="1017"/>
      <c r="E37" s="1017"/>
      <c r="F37" s="27"/>
      <c r="G37" s="27"/>
      <c r="H37" s="27"/>
      <c r="I37" s="27"/>
      <c r="J37" s="27"/>
    </row>
    <row r="38" spans="1:10" ht="15.75">
      <c r="A38" s="20"/>
      <c r="B38" s="18"/>
      <c r="C38" s="711"/>
      <c r="D38" s="33"/>
      <c r="E38" s="33"/>
      <c r="F38" s="33"/>
      <c r="G38" s="33"/>
      <c r="H38" s="33"/>
      <c r="I38" s="26"/>
      <c r="J38" s="26"/>
    </row>
    <row r="39" spans="1:10" ht="26.25" customHeight="1">
      <c r="A39" s="20"/>
      <c r="B39" s="18"/>
      <c r="C39" s="711"/>
      <c r="D39" s="33"/>
      <c r="E39" s="33"/>
      <c r="F39" s="33"/>
      <c r="G39" s="33"/>
      <c r="H39" s="33"/>
      <c r="I39" s="28"/>
      <c r="J39" s="29"/>
    </row>
    <row r="40" spans="1:10" ht="15.75" customHeight="1">
      <c r="C40" s="710"/>
      <c r="D40" s="33"/>
      <c r="E40" s="33"/>
      <c r="F40" s="33"/>
      <c r="G40" s="33"/>
      <c r="H40" s="33"/>
      <c r="I40" s="27"/>
      <c r="J40" s="29"/>
    </row>
    <row r="41" spans="1:10" ht="15.75">
      <c r="C41" s="710"/>
      <c r="D41" s="33"/>
      <c r="E41" s="33"/>
      <c r="F41" s="33"/>
      <c r="G41" s="33"/>
      <c r="H41" s="33"/>
      <c r="I41" s="27"/>
      <c r="J41" s="29"/>
    </row>
    <row r="42" spans="1:10" ht="15.75">
      <c r="C42" s="1017"/>
      <c r="D42" s="1017"/>
      <c r="E42" s="1017"/>
      <c r="F42" s="1017" t="s">
        <v>1236</v>
      </c>
      <c r="G42" s="1017"/>
      <c r="H42" s="1017"/>
      <c r="I42" s="1017"/>
      <c r="J42" s="1017"/>
    </row>
  </sheetData>
  <mergeCells count="10">
    <mergeCell ref="A7:A8"/>
    <mergeCell ref="C7:D7"/>
    <mergeCell ref="E7:E8"/>
    <mergeCell ref="A4:E4"/>
    <mergeCell ref="B6:E6"/>
    <mergeCell ref="F42:J42"/>
    <mergeCell ref="C42:E42"/>
    <mergeCell ref="C37:E37"/>
    <mergeCell ref="C36:E36"/>
    <mergeCell ref="B7:B8"/>
  </mergeCells>
  <phoneticPr fontId="0" type="noConversion"/>
  <pageMargins left="1.1299999999999999" right="0.35" top="0.5" bottom="0.25" header="0.511811023622047" footer="0.511811023622047"/>
  <pageSetup paperSize="9" orientation="portrait" horizontalDpi="180" verticalDpi="180" r:id="rId1"/>
  <headerFooter alignWithMargins="0"/>
  <drawing r:id="rId2"/>
</worksheet>
</file>

<file path=xl/worksheets/sheet20.xml><?xml version="1.0" encoding="utf-8"?>
<worksheet xmlns="http://schemas.openxmlformats.org/spreadsheetml/2006/main" xmlns:r="http://schemas.openxmlformats.org/officeDocument/2006/relationships">
  <sheetPr>
    <tabColor rgb="FF00B0F0"/>
  </sheetPr>
  <dimension ref="A1:W28"/>
  <sheetViews>
    <sheetView zoomScale="106" zoomScaleNormal="106" workbookViewId="0">
      <selection activeCell="F9" sqref="F9"/>
    </sheetView>
  </sheetViews>
  <sheetFormatPr defaultRowHeight="15"/>
  <cols>
    <col min="1" max="1" width="3" style="1" customWidth="1"/>
    <col min="2" max="2" width="18.75" style="1" customWidth="1"/>
    <col min="3" max="3" width="11" style="1" customWidth="1"/>
    <col min="4" max="4" width="10.875" style="1" customWidth="1"/>
    <col min="5" max="5" width="10.625" style="1" customWidth="1"/>
    <col min="6" max="6" width="7.375" style="1" customWidth="1"/>
    <col min="7" max="7" width="6.75" style="1" customWidth="1"/>
    <col min="8" max="8" width="7" style="1" customWidth="1"/>
    <col min="9" max="9" width="10.375" style="1" customWidth="1"/>
    <col min="10" max="10" width="11" style="1" customWidth="1"/>
    <col min="11" max="11" width="10.25" style="1" customWidth="1"/>
    <col min="12" max="12" width="6.875" style="1" customWidth="1"/>
    <col min="13" max="13" width="6.625" style="1" customWidth="1"/>
    <col min="14" max="14" width="7.125" style="1" customWidth="1"/>
    <col min="15" max="16384" width="9" style="1"/>
  </cols>
  <sheetData>
    <row r="1" spans="1:23" ht="16.5">
      <c r="A1" s="1214" t="s">
        <v>413</v>
      </c>
      <c r="B1" s="1214"/>
      <c r="C1" s="54"/>
      <c r="D1" s="54"/>
      <c r="E1" s="54"/>
      <c r="F1" s="54"/>
      <c r="G1" s="54"/>
      <c r="H1" s="54"/>
      <c r="I1" s="54"/>
      <c r="J1" s="54"/>
      <c r="K1" s="1212"/>
      <c r="L1" s="1212"/>
      <c r="M1" s="1212"/>
      <c r="N1" s="1212"/>
      <c r="O1" s="54"/>
      <c r="P1" s="54"/>
      <c r="Q1" s="54"/>
      <c r="R1" s="54"/>
      <c r="S1" s="54"/>
      <c r="T1" s="54"/>
      <c r="U1" s="54"/>
      <c r="V1" s="54"/>
      <c r="W1" s="54"/>
    </row>
    <row r="2" spans="1:23" ht="16.5">
      <c r="A2" s="55" t="s">
        <v>553</v>
      </c>
      <c r="B2" s="55"/>
      <c r="C2" s="54"/>
      <c r="D2" s="54"/>
      <c r="E2" s="54"/>
      <c r="F2" s="54"/>
      <c r="G2" s="54"/>
      <c r="H2" s="54"/>
      <c r="I2" s="54"/>
      <c r="J2" s="54"/>
      <c r="K2" s="53"/>
      <c r="L2" s="53"/>
      <c r="M2" s="53"/>
      <c r="N2" s="53"/>
      <c r="O2" s="54"/>
      <c r="P2" s="54"/>
      <c r="Q2" s="54"/>
      <c r="R2" s="54"/>
      <c r="S2" s="54"/>
      <c r="T2" s="54"/>
      <c r="U2" s="54"/>
      <c r="V2" s="54"/>
      <c r="W2" s="54"/>
    </row>
    <row r="3" spans="1:23" ht="24.75" customHeight="1">
      <c r="A3" s="1213" t="s">
        <v>1663</v>
      </c>
      <c r="B3" s="1213"/>
      <c r="C3" s="1213"/>
      <c r="D3" s="1213"/>
      <c r="E3" s="1213"/>
      <c r="F3" s="1213"/>
      <c r="G3" s="1213"/>
      <c r="H3" s="1213"/>
      <c r="I3" s="1213"/>
      <c r="J3" s="1213"/>
      <c r="K3" s="1213"/>
      <c r="L3" s="1213"/>
      <c r="M3" s="1213"/>
      <c r="N3" s="1213"/>
      <c r="O3" s="54"/>
      <c r="P3" s="54"/>
      <c r="Q3" s="54"/>
      <c r="R3" s="54"/>
      <c r="S3" s="54"/>
      <c r="T3" s="54"/>
      <c r="U3" s="54"/>
      <c r="V3" s="54"/>
      <c r="W3" s="54"/>
    </row>
    <row r="4" spans="1:23" ht="17.25">
      <c r="A4" s="1213"/>
      <c r="B4" s="1213"/>
      <c r="C4" s="1213"/>
      <c r="D4" s="1213"/>
      <c r="E4" s="1213"/>
      <c r="F4" s="1213"/>
      <c r="G4" s="1213"/>
      <c r="H4" s="1213"/>
      <c r="I4" s="1213"/>
      <c r="J4" s="1213"/>
      <c r="K4" s="1213"/>
      <c r="L4" s="1213"/>
      <c r="M4" s="1213"/>
      <c r="N4" s="1213"/>
    </row>
    <row r="5" spans="1:23" ht="15.75">
      <c r="K5" s="1215" t="s">
        <v>1670</v>
      </c>
      <c r="L5" s="1215"/>
      <c r="M5" s="1215"/>
      <c r="N5" s="1215"/>
    </row>
    <row r="6" spans="1:23" s="6" customFormat="1" ht="21" customHeight="1">
      <c r="A6" s="1030" t="s">
        <v>76</v>
      </c>
      <c r="B6" s="1030" t="s">
        <v>554</v>
      </c>
      <c r="C6" s="1054" t="s">
        <v>1200</v>
      </c>
      <c r="D6" s="1054"/>
      <c r="E6" s="1054"/>
      <c r="F6" s="1054"/>
      <c r="G6" s="1054"/>
      <c r="H6" s="1054"/>
      <c r="I6" s="1054" t="s">
        <v>771</v>
      </c>
      <c r="J6" s="1054"/>
      <c r="K6" s="1054"/>
      <c r="L6" s="1054"/>
      <c r="M6" s="1054"/>
      <c r="N6" s="1054"/>
    </row>
    <row r="7" spans="1:23" s="6" customFormat="1" ht="21.75" customHeight="1">
      <c r="A7" s="1030"/>
      <c r="B7" s="1030"/>
      <c r="C7" s="1030" t="s">
        <v>1199</v>
      </c>
      <c r="D7" s="1030" t="s">
        <v>1665</v>
      </c>
      <c r="E7" s="1030" t="s">
        <v>1666</v>
      </c>
      <c r="F7" s="1030" t="s">
        <v>414</v>
      </c>
      <c r="G7" s="1030"/>
      <c r="H7" s="1030"/>
      <c r="I7" s="1030" t="s">
        <v>1664</v>
      </c>
      <c r="J7" s="1030" t="s">
        <v>1665</v>
      </c>
      <c r="K7" s="1030" t="s">
        <v>1666</v>
      </c>
      <c r="L7" s="1030" t="s">
        <v>1213</v>
      </c>
      <c r="M7" s="1030"/>
      <c r="N7" s="1030"/>
    </row>
    <row r="8" spans="1:23" s="6" customFormat="1" ht="37.5" customHeight="1">
      <c r="A8" s="1030"/>
      <c r="B8" s="1030"/>
      <c r="C8" s="1030"/>
      <c r="D8" s="1030"/>
      <c r="E8" s="1030"/>
      <c r="F8" s="898" t="s">
        <v>415</v>
      </c>
      <c r="G8" s="898" t="s">
        <v>416</v>
      </c>
      <c r="H8" s="898" t="s">
        <v>417</v>
      </c>
      <c r="I8" s="1030"/>
      <c r="J8" s="1030"/>
      <c r="K8" s="1030"/>
      <c r="L8" s="898" t="s">
        <v>415</v>
      </c>
      <c r="M8" s="898" t="s">
        <v>416</v>
      </c>
      <c r="N8" s="898" t="s">
        <v>417</v>
      </c>
    </row>
    <row r="9" spans="1:23" ht="18" customHeight="1">
      <c r="A9" s="933">
        <v>1</v>
      </c>
      <c r="B9" s="189" t="s">
        <v>418</v>
      </c>
      <c r="C9" s="189">
        <v>15735000</v>
      </c>
      <c r="D9" s="189">
        <v>18104000</v>
      </c>
      <c r="E9" s="189">
        <v>14431000</v>
      </c>
      <c r="F9" s="934">
        <f>E9/C9%</f>
        <v>91.712742294248486</v>
      </c>
      <c r="G9" s="935">
        <f>E9/C9%</f>
        <v>91.712742294248486</v>
      </c>
      <c r="H9" s="935">
        <f>C9/D9%</f>
        <v>86.914494034467523</v>
      </c>
      <c r="I9" s="927">
        <v>4934733</v>
      </c>
      <c r="J9" s="189">
        <v>11700000</v>
      </c>
      <c r="K9" s="614">
        <v>4902600</v>
      </c>
      <c r="L9" s="935">
        <f>J9/I9%</f>
        <v>237.09489449581162</v>
      </c>
      <c r="M9" s="935">
        <f>K9/I9%</f>
        <v>99.348840150014198</v>
      </c>
      <c r="N9" s="935">
        <f>K9/J9%</f>
        <v>41.902564102564099</v>
      </c>
    </row>
    <row r="10" spans="1:23" ht="18" customHeight="1">
      <c r="A10" s="933">
        <v>2</v>
      </c>
      <c r="B10" s="189" t="s">
        <v>107</v>
      </c>
      <c r="C10" s="189">
        <v>9044000</v>
      </c>
      <c r="D10" s="189">
        <v>12447000</v>
      </c>
      <c r="E10" s="189">
        <v>9298000</v>
      </c>
      <c r="F10" s="934">
        <f t="shared" ref="F10:F15" si="0">E10/C10%</f>
        <v>102.80849181777974</v>
      </c>
      <c r="G10" s="935">
        <f t="shared" ref="G10:G15" si="1">E10/C10%</f>
        <v>102.80849181777974</v>
      </c>
      <c r="H10" s="935">
        <f t="shared" ref="H10:H15" si="2">C10/D10%</f>
        <v>72.66007873383144</v>
      </c>
      <c r="I10" s="927">
        <v>4705691</v>
      </c>
      <c r="J10" s="189">
        <v>11655000</v>
      </c>
      <c r="K10" s="614">
        <v>4696200</v>
      </c>
      <c r="L10" s="935">
        <f t="shared" ref="L10:L15" si="3">J10/I10%</f>
        <v>247.67882124006866</v>
      </c>
      <c r="M10" s="935">
        <f t="shared" ref="M10:M15" si="4">K10/I10%</f>
        <v>99.798308048701017</v>
      </c>
      <c r="N10" s="935">
        <f t="shared" ref="N10:N15" si="5">K10/J10%</f>
        <v>40.293436293436294</v>
      </c>
    </row>
    <row r="11" spans="1:23" ht="18" customHeight="1">
      <c r="A11" s="933">
        <v>3</v>
      </c>
      <c r="B11" s="189" t="s">
        <v>815</v>
      </c>
      <c r="C11" s="189">
        <v>11540000</v>
      </c>
      <c r="D11" s="189">
        <v>3114000</v>
      </c>
      <c r="E11" s="189">
        <v>3631000</v>
      </c>
      <c r="F11" s="934">
        <f t="shared" si="0"/>
        <v>31.464471403812826</v>
      </c>
      <c r="G11" s="935">
        <f t="shared" si="1"/>
        <v>31.464471403812826</v>
      </c>
      <c r="H11" s="935">
        <f t="shared" si="2"/>
        <v>370.58445728965961</v>
      </c>
      <c r="I11" s="927">
        <v>4968899</v>
      </c>
      <c r="J11" s="189">
        <v>17300000</v>
      </c>
      <c r="K11" s="614">
        <v>4935500</v>
      </c>
      <c r="L11" s="935">
        <f t="shared" si="3"/>
        <v>348.16566003857196</v>
      </c>
      <c r="M11" s="935">
        <f t="shared" si="4"/>
        <v>99.327839024298953</v>
      </c>
      <c r="N11" s="935">
        <f t="shared" si="5"/>
        <v>28.528901734104046</v>
      </c>
    </row>
    <row r="12" spans="1:23" ht="18" customHeight="1">
      <c r="A12" s="933">
        <v>4</v>
      </c>
      <c r="B12" s="189" t="s">
        <v>1668</v>
      </c>
      <c r="C12" s="189">
        <v>5219000</v>
      </c>
      <c r="D12" s="189">
        <v>4740000</v>
      </c>
      <c r="E12" s="189">
        <v>3381000</v>
      </c>
      <c r="F12" s="934">
        <f t="shared" si="0"/>
        <v>64.782525388005368</v>
      </c>
      <c r="G12" s="935">
        <f t="shared" si="1"/>
        <v>64.782525388005368</v>
      </c>
      <c r="H12" s="935">
        <f t="shared" si="2"/>
        <v>110.10548523206751</v>
      </c>
      <c r="I12" s="927">
        <v>4956117</v>
      </c>
      <c r="J12" s="189">
        <v>12800000</v>
      </c>
      <c r="K12" s="614">
        <v>4909300</v>
      </c>
      <c r="L12" s="935">
        <f t="shared" si="3"/>
        <v>258.26670355038027</v>
      </c>
      <c r="M12" s="935">
        <f t="shared" si="4"/>
        <v>99.055369354678277</v>
      </c>
      <c r="N12" s="935">
        <f t="shared" si="5"/>
        <v>38.353906250000001</v>
      </c>
    </row>
    <row r="13" spans="1:23" ht="18" customHeight="1">
      <c r="A13" s="933">
        <v>5</v>
      </c>
      <c r="B13" s="189" t="s">
        <v>1669</v>
      </c>
      <c r="C13" s="189">
        <v>8188000</v>
      </c>
      <c r="D13" s="189">
        <v>19505000</v>
      </c>
      <c r="E13" s="189">
        <v>11828343</v>
      </c>
      <c r="F13" s="934">
        <f t="shared" si="0"/>
        <v>144.45948949682463</v>
      </c>
      <c r="G13" s="935">
        <f t="shared" si="1"/>
        <v>144.45948949682463</v>
      </c>
      <c r="H13" s="935">
        <f t="shared" si="2"/>
        <v>41.978979748782365</v>
      </c>
      <c r="I13" s="927">
        <v>5121476</v>
      </c>
      <c r="J13" s="189">
        <f>13047313-105313</f>
        <v>12942000</v>
      </c>
      <c r="K13" s="614">
        <v>4806400</v>
      </c>
      <c r="L13" s="935">
        <f t="shared" si="3"/>
        <v>252.7005886584258</v>
      </c>
      <c r="M13" s="935">
        <f t="shared" si="4"/>
        <v>93.847945396991022</v>
      </c>
      <c r="N13" s="935">
        <f t="shared" si="5"/>
        <v>37.138000309071238</v>
      </c>
    </row>
    <row r="14" spans="1:23" ht="18" customHeight="1">
      <c r="A14" s="933">
        <v>6</v>
      </c>
      <c r="B14" s="189" t="s">
        <v>419</v>
      </c>
      <c r="C14" s="189">
        <v>2442000</v>
      </c>
      <c r="D14" s="189">
        <v>3652000</v>
      </c>
      <c r="E14" s="189">
        <v>1182000</v>
      </c>
      <c r="F14" s="934">
        <f t="shared" si="0"/>
        <v>48.402948402948404</v>
      </c>
      <c r="G14" s="935">
        <f t="shared" si="1"/>
        <v>48.402948402948404</v>
      </c>
      <c r="H14" s="935">
        <f t="shared" si="2"/>
        <v>66.867469879518069</v>
      </c>
      <c r="I14" s="927">
        <v>5666084</v>
      </c>
      <c r="J14" s="189">
        <v>11100000</v>
      </c>
      <c r="K14" s="614">
        <v>5190000</v>
      </c>
      <c r="L14" s="935">
        <f t="shared" si="3"/>
        <v>195.90249632726943</v>
      </c>
      <c r="M14" s="935">
        <f t="shared" si="4"/>
        <v>91.597653688155702</v>
      </c>
      <c r="N14" s="935">
        <f t="shared" si="5"/>
        <v>46.756756756756758</v>
      </c>
    </row>
    <row r="15" spans="1:23" s="2" customFormat="1" ht="18" customHeight="1">
      <c r="A15" s="97"/>
      <c r="B15" s="97" t="s">
        <v>86</v>
      </c>
      <c r="C15" s="97">
        <f>SUM(C9:C14)</f>
        <v>52168000</v>
      </c>
      <c r="D15" s="97">
        <f>SUM(D9:D14)</f>
        <v>61562000</v>
      </c>
      <c r="E15" s="97">
        <f>SUM(E9:E14)</f>
        <v>43751343</v>
      </c>
      <c r="F15" s="936">
        <f t="shared" si="0"/>
        <v>83.866245591167001</v>
      </c>
      <c r="G15" s="937">
        <f t="shared" si="1"/>
        <v>83.866245591167001</v>
      </c>
      <c r="H15" s="937">
        <f t="shared" si="2"/>
        <v>84.740586725577472</v>
      </c>
      <c r="I15" s="97">
        <f>SUM(I9:I14)</f>
        <v>30353000</v>
      </c>
      <c r="J15" s="97">
        <f>SUM(J9:J14)</f>
        <v>77497000</v>
      </c>
      <c r="K15" s="97">
        <f>SUM(K9:K14)</f>
        <v>29440000</v>
      </c>
      <c r="L15" s="937">
        <f t="shared" si="3"/>
        <v>255.3190788389945</v>
      </c>
      <c r="M15" s="937">
        <f t="shared" si="4"/>
        <v>96.992060092906797</v>
      </c>
      <c r="N15" s="937">
        <f t="shared" si="5"/>
        <v>37.988567299379334</v>
      </c>
    </row>
    <row r="16" spans="1:23" ht="13.5" customHeight="1">
      <c r="I16" s="94"/>
      <c r="J16" s="94"/>
      <c r="K16" s="94"/>
    </row>
    <row r="17" spans="7:13" ht="15.75">
      <c r="I17" s="1211" t="s">
        <v>1667</v>
      </c>
      <c r="J17" s="1211"/>
      <c r="K17" s="1211"/>
      <c r="L17" s="1211"/>
      <c r="M17" s="1211"/>
    </row>
    <row r="18" spans="7:13" ht="16.5">
      <c r="G18" s="57"/>
      <c r="I18" s="1210" t="s">
        <v>563</v>
      </c>
      <c r="J18" s="1210"/>
      <c r="K18" s="1210"/>
      <c r="L18" s="1210"/>
      <c r="M18" s="1210"/>
    </row>
    <row r="19" spans="7:13" ht="16.5">
      <c r="G19" s="57"/>
      <c r="I19" s="1210" t="s">
        <v>546</v>
      </c>
      <c r="J19" s="1210"/>
      <c r="K19" s="1210"/>
      <c r="L19" s="1210"/>
      <c r="M19" s="1210"/>
    </row>
    <row r="20" spans="7:13">
      <c r="G20" s="57"/>
    </row>
    <row r="21" spans="7:13">
      <c r="G21" s="57"/>
      <c r="J21" s="94"/>
    </row>
    <row r="22" spans="7:13">
      <c r="G22" s="57"/>
      <c r="J22" s="56"/>
    </row>
    <row r="23" spans="7:13">
      <c r="G23" s="57"/>
    </row>
    <row r="24" spans="7:13" ht="15.75">
      <c r="I24" s="1209" t="s">
        <v>694</v>
      </c>
      <c r="J24" s="1209"/>
      <c r="K24" s="1209"/>
      <c r="L24" s="1209"/>
      <c r="M24" s="1209"/>
    </row>
    <row r="28" spans="7:13">
      <c r="J28" s="54"/>
    </row>
  </sheetData>
  <mergeCells count="21">
    <mergeCell ref="K1:N1"/>
    <mergeCell ref="A3:N3"/>
    <mergeCell ref="C7:C8"/>
    <mergeCell ref="F7:H7"/>
    <mergeCell ref="A1:B1"/>
    <mergeCell ref="A6:A8"/>
    <mergeCell ref="A4:N4"/>
    <mergeCell ref="B6:B8"/>
    <mergeCell ref="J7:J8"/>
    <mergeCell ref="K5:N5"/>
    <mergeCell ref="D7:D8"/>
    <mergeCell ref="E7:E8"/>
    <mergeCell ref="C6:H6"/>
    <mergeCell ref="I6:N6"/>
    <mergeCell ref="I24:M24"/>
    <mergeCell ref="I7:I8"/>
    <mergeCell ref="K7:K8"/>
    <mergeCell ref="L7:N7"/>
    <mergeCell ref="I18:M18"/>
    <mergeCell ref="I19:M19"/>
    <mergeCell ref="I17:M17"/>
  </mergeCells>
  <phoneticPr fontId="53" type="noConversion"/>
  <pageMargins left="0.52" right="0.4" top="0.75" bottom="0.75" header="0.3" footer="0.3"/>
  <pageSetup paperSize="9" orientation="landscape" r:id="rId1"/>
  <drawing r:id="rId2"/>
</worksheet>
</file>

<file path=xl/worksheets/sheet21.xml><?xml version="1.0" encoding="utf-8"?>
<worksheet xmlns="http://schemas.openxmlformats.org/spreadsheetml/2006/main" xmlns:r="http://schemas.openxmlformats.org/officeDocument/2006/relationships">
  <sheetPr>
    <tabColor rgb="FF00B0F0"/>
  </sheetPr>
  <dimension ref="A1:L25"/>
  <sheetViews>
    <sheetView topLeftCell="A7" workbookViewId="0">
      <selection activeCell="E21" sqref="E21"/>
    </sheetView>
  </sheetViews>
  <sheetFormatPr defaultRowHeight="15"/>
  <cols>
    <col min="1" max="1" width="3.25" customWidth="1"/>
    <col min="2" max="2" width="23.875" customWidth="1"/>
    <col min="3" max="3" width="11.25" customWidth="1"/>
    <col min="4" max="4" width="11.5" customWidth="1"/>
    <col min="5" max="5" width="11.375" customWidth="1"/>
    <col min="6" max="6" width="11.5" customWidth="1"/>
    <col min="7" max="7" width="12" customWidth="1"/>
    <col min="8" max="8" width="11.75" customWidth="1"/>
    <col min="9" max="9" width="13.25" customWidth="1"/>
    <col min="11" max="11" width="12.875" customWidth="1"/>
  </cols>
  <sheetData>
    <row r="1" spans="1:12" s="126" customFormat="1" ht="15.75">
      <c r="A1" s="126" t="s">
        <v>438</v>
      </c>
    </row>
    <row r="2" spans="1:12" s="126" customFormat="1" ht="15.75">
      <c r="A2" s="130" t="s">
        <v>674</v>
      </c>
    </row>
    <row r="3" spans="1:12" s="126" customFormat="1" ht="15.75">
      <c r="A3" s="130"/>
    </row>
    <row r="4" spans="1:12" ht="18" customHeight="1">
      <c r="A4" s="1073" t="s">
        <v>1659</v>
      </c>
      <c r="B4" s="1073"/>
      <c r="C4" s="1073"/>
      <c r="D4" s="1073"/>
      <c r="E4" s="1073"/>
      <c r="F4" s="1073"/>
      <c r="G4" s="1073"/>
      <c r="H4" s="1073"/>
      <c r="I4" s="1073"/>
    </row>
    <row r="5" spans="1:12" ht="15" customHeight="1">
      <c r="A5" s="184"/>
      <c r="B5" s="184"/>
      <c r="C5" s="184"/>
      <c r="D5" s="184"/>
      <c r="E5" s="184"/>
      <c r="F5" s="184"/>
      <c r="G5" s="184"/>
      <c r="H5" s="184"/>
      <c r="I5" s="184"/>
    </row>
    <row r="6" spans="1:12" ht="15.75">
      <c r="G6" s="1216" t="s">
        <v>1660</v>
      </c>
      <c r="H6" s="1216"/>
      <c r="I6" s="1216"/>
    </row>
    <row r="7" spans="1:12" s="126" customFormat="1" ht="33.75" customHeight="1">
      <c r="A7" s="1218" t="s">
        <v>76</v>
      </c>
      <c r="B7" s="1220" t="s">
        <v>528</v>
      </c>
      <c r="C7" s="1218" t="s">
        <v>529</v>
      </c>
      <c r="D7" s="1218" t="s">
        <v>530</v>
      </c>
      <c r="E7" s="1218" t="s">
        <v>531</v>
      </c>
      <c r="F7" s="1223" t="s">
        <v>535</v>
      </c>
      <c r="G7" s="1224"/>
      <c r="H7" s="1224"/>
      <c r="I7" s="1225"/>
    </row>
    <row r="8" spans="1:12" s="126" customFormat="1" ht="48" customHeight="1">
      <c r="A8" s="1219"/>
      <c r="B8" s="1221"/>
      <c r="C8" s="1219"/>
      <c r="D8" s="1219"/>
      <c r="E8" s="1219"/>
      <c r="F8" s="127" t="s">
        <v>306</v>
      </c>
      <c r="G8" s="127" t="s">
        <v>532</v>
      </c>
      <c r="H8" s="127" t="s">
        <v>533</v>
      </c>
      <c r="I8" s="127" t="s">
        <v>534</v>
      </c>
    </row>
    <row r="9" spans="1:12" s="126" customFormat="1" ht="20.100000000000001" customHeight="1">
      <c r="A9" s="389">
        <v>1</v>
      </c>
      <c r="B9" s="188" t="s">
        <v>418</v>
      </c>
      <c r="C9" s="39">
        <v>14431000</v>
      </c>
      <c r="D9" s="39">
        <v>894800</v>
      </c>
      <c r="E9" s="39">
        <v>4902600</v>
      </c>
      <c r="F9" s="39">
        <f t="shared" ref="F9:F14" si="0">G9+H9</f>
        <v>4007800</v>
      </c>
      <c r="G9" s="92">
        <f t="shared" ref="G9:G14" si="1">E9-D9</f>
        <v>4007800</v>
      </c>
      <c r="H9" s="125"/>
      <c r="I9" s="125"/>
      <c r="K9" s="18"/>
    </row>
    <row r="10" spans="1:12" s="126" customFormat="1" ht="20.100000000000001" customHeight="1">
      <c r="A10" s="389">
        <v>2</v>
      </c>
      <c r="B10" s="188" t="s">
        <v>107</v>
      </c>
      <c r="C10" s="39">
        <v>9298000</v>
      </c>
      <c r="D10" s="39">
        <v>1034800</v>
      </c>
      <c r="E10" s="39">
        <v>4696200</v>
      </c>
      <c r="F10" s="39">
        <f t="shared" si="0"/>
        <v>3661400</v>
      </c>
      <c r="G10" s="92">
        <f t="shared" si="1"/>
        <v>3661400</v>
      </c>
      <c r="H10" s="125"/>
      <c r="I10" s="125"/>
      <c r="K10" s="18"/>
    </row>
    <row r="11" spans="1:12" s="126" customFormat="1" ht="20.100000000000001" customHeight="1">
      <c r="A11" s="389">
        <v>3</v>
      </c>
      <c r="B11" s="188" t="s">
        <v>815</v>
      </c>
      <c r="C11" s="39">
        <v>3631000</v>
      </c>
      <c r="D11" s="39">
        <v>382000</v>
      </c>
      <c r="E11" s="39">
        <v>4935500</v>
      </c>
      <c r="F11" s="39">
        <f t="shared" si="0"/>
        <v>4553500</v>
      </c>
      <c r="G11" s="92">
        <f t="shared" si="1"/>
        <v>4553500</v>
      </c>
      <c r="H11" s="125"/>
      <c r="I11" s="125"/>
      <c r="K11" s="18"/>
    </row>
    <row r="12" spans="1:12" s="126" customFormat="1" ht="20.100000000000001" customHeight="1">
      <c r="A12" s="389">
        <v>4</v>
      </c>
      <c r="B12" s="188" t="s">
        <v>816</v>
      </c>
      <c r="C12" s="39">
        <v>3381000</v>
      </c>
      <c r="D12" s="39">
        <v>404400</v>
      </c>
      <c r="E12" s="39">
        <v>4909300</v>
      </c>
      <c r="F12" s="39">
        <f t="shared" si="0"/>
        <v>4504900</v>
      </c>
      <c r="G12" s="92">
        <f t="shared" si="1"/>
        <v>4504900</v>
      </c>
      <c r="H12" s="125"/>
      <c r="I12" s="125"/>
      <c r="K12" s="18"/>
    </row>
    <row r="13" spans="1:12" s="126" customFormat="1" ht="20.100000000000001" customHeight="1">
      <c r="A13" s="389">
        <v>5</v>
      </c>
      <c r="B13" s="188" t="s">
        <v>817</v>
      </c>
      <c r="C13" s="39">
        <v>11823343</v>
      </c>
      <c r="D13" s="39">
        <v>493000</v>
      </c>
      <c r="E13" s="39">
        <v>4806400</v>
      </c>
      <c r="F13" s="39">
        <f t="shared" si="0"/>
        <v>4313400</v>
      </c>
      <c r="G13" s="92">
        <f>E13-D13</f>
        <v>4313400</v>
      </c>
      <c r="H13" s="125"/>
      <c r="I13" s="92"/>
      <c r="K13" s="249"/>
      <c r="L13" s="18"/>
    </row>
    <row r="14" spans="1:12" s="126" customFormat="1" ht="20.100000000000001" customHeight="1">
      <c r="A14" s="389">
        <v>6</v>
      </c>
      <c r="B14" s="188" t="s">
        <v>419</v>
      </c>
      <c r="C14" s="39">
        <v>1182000</v>
      </c>
      <c r="D14" s="39">
        <v>619000</v>
      </c>
      <c r="E14" s="39">
        <v>5190000</v>
      </c>
      <c r="F14" s="39">
        <f t="shared" si="0"/>
        <v>4571000</v>
      </c>
      <c r="G14" s="92">
        <f t="shared" si="1"/>
        <v>4571000</v>
      </c>
      <c r="H14" s="125"/>
      <c r="I14" s="125"/>
      <c r="K14" s="250"/>
      <c r="L14" s="18"/>
    </row>
    <row r="15" spans="1:12" s="130" customFormat="1" ht="20.100000000000001" customHeight="1">
      <c r="A15" s="128"/>
      <c r="B15" s="129" t="s">
        <v>56</v>
      </c>
      <c r="C15" s="38">
        <f>SUM(C9:C14)</f>
        <v>43746343</v>
      </c>
      <c r="D15" s="38">
        <f t="shared" ref="D15:I15" si="2">SUM(D9:D14)</f>
        <v>3828000</v>
      </c>
      <c r="E15" s="38">
        <f t="shared" si="2"/>
        <v>29440000</v>
      </c>
      <c r="F15" s="38">
        <f>SUM(F9:F14)</f>
        <v>25612000</v>
      </c>
      <c r="G15" s="38">
        <f>SUM(G9:G14)</f>
        <v>25612000</v>
      </c>
      <c r="H15" s="38">
        <f>SUM(H9:H14)</f>
        <v>0</v>
      </c>
      <c r="I15" s="38">
        <f t="shared" si="2"/>
        <v>0</v>
      </c>
      <c r="L15" s="22"/>
    </row>
    <row r="16" spans="1:12">
      <c r="G16" s="1"/>
      <c r="H16" s="1"/>
      <c r="I16" s="1"/>
    </row>
    <row r="17" spans="2:11" ht="18.75">
      <c r="F17" s="1217" t="s">
        <v>1671</v>
      </c>
      <c r="G17" s="1217"/>
      <c r="H17" s="1217"/>
      <c r="I17" s="1217"/>
      <c r="K17" s="251"/>
    </row>
    <row r="18" spans="2:11" s="131" customFormat="1">
      <c r="B18" s="1222"/>
      <c r="C18" s="1222"/>
      <c r="D18" s="1222"/>
      <c r="F18" s="1226" t="s">
        <v>806</v>
      </c>
      <c r="G18" s="1226"/>
      <c r="H18" s="1226"/>
      <c r="I18" s="1226"/>
    </row>
    <row r="19" spans="2:11" s="126" customFormat="1" ht="15.75">
      <c r="F19" s="25"/>
      <c r="G19" s="25"/>
      <c r="H19" s="18"/>
      <c r="I19" s="25"/>
    </row>
    <row r="20" spans="2:11" s="126" customFormat="1" ht="15.75">
      <c r="F20" s="18"/>
      <c r="G20" s="18"/>
      <c r="I20" s="18"/>
    </row>
    <row r="21" spans="2:11" s="126" customFormat="1" ht="15.75">
      <c r="F21" s="18"/>
      <c r="G21" s="18"/>
      <c r="H21" s="18"/>
      <c r="I21" s="18"/>
    </row>
    <row r="22" spans="2:11" s="126" customFormat="1" ht="15.75">
      <c r="F22" s="18"/>
      <c r="G22" s="18"/>
      <c r="H22" s="18"/>
      <c r="I22" s="18"/>
    </row>
    <row r="23" spans="2:11" s="126" customFormat="1" ht="15.75">
      <c r="F23" s="18"/>
      <c r="G23" s="18"/>
      <c r="H23" s="18"/>
      <c r="I23" s="18"/>
    </row>
    <row r="24" spans="2:11" s="130" customFormat="1" ht="15.75">
      <c r="B24" s="1073"/>
      <c r="C24" s="1073"/>
      <c r="D24" s="1073"/>
      <c r="F24" s="1017" t="s">
        <v>60</v>
      </c>
      <c r="G24" s="1017"/>
      <c r="H24" s="1017"/>
      <c r="I24" s="1017"/>
    </row>
    <row r="25" spans="2:11" s="126" customFormat="1" ht="15.75"/>
  </sheetData>
  <mergeCells count="13">
    <mergeCell ref="F24:I24"/>
    <mergeCell ref="B18:D18"/>
    <mergeCell ref="B24:D24"/>
    <mergeCell ref="E7:E8"/>
    <mergeCell ref="F7:I7"/>
    <mergeCell ref="F18:I18"/>
    <mergeCell ref="G6:I6"/>
    <mergeCell ref="F17:I17"/>
    <mergeCell ref="A4:I4"/>
    <mergeCell ref="A7:A8"/>
    <mergeCell ref="B7:B8"/>
    <mergeCell ref="C7:C8"/>
    <mergeCell ref="D7:D8"/>
  </mergeCells>
  <phoneticPr fontId="53" type="noConversion"/>
  <pageMargins left="1.33" right="0.7" top="0.5" bottom="0.5" header="0.3" footer="0.3"/>
  <pageSetup paperSize="9" orientation="landscape" r:id="rId1"/>
</worksheet>
</file>

<file path=xl/worksheets/sheet22.xml><?xml version="1.0" encoding="utf-8"?>
<worksheet xmlns="http://schemas.openxmlformats.org/spreadsheetml/2006/main" xmlns:r="http://schemas.openxmlformats.org/officeDocument/2006/relationships">
  <sheetPr>
    <tabColor rgb="FF00B0F0"/>
  </sheetPr>
  <dimension ref="A1:X27"/>
  <sheetViews>
    <sheetView workbookViewId="0">
      <pane xSplit="2" ySplit="10" topLeftCell="C26" activePane="bottomRight" state="frozen"/>
      <selection pane="topRight" activeCell="C1" sqref="C1"/>
      <selection pane="bottomLeft" activeCell="A9" sqref="A9"/>
      <selection pane="bottomRight" activeCell="J12" sqref="J12"/>
    </sheetView>
  </sheetViews>
  <sheetFormatPr defaultRowHeight="15"/>
  <cols>
    <col min="1" max="1" width="2.875" style="1" customWidth="1"/>
    <col min="2" max="2" width="17.125" style="1" customWidth="1"/>
    <col min="3" max="3" width="10.375" style="1" customWidth="1"/>
    <col min="4" max="4" width="10.625" style="1" customWidth="1"/>
    <col min="5" max="5" width="10.75" style="1" customWidth="1"/>
    <col min="6" max="6" width="11.375" style="1" customWidth="1"/>
    <col min="7" max="9" width="6.375" style="1" hidden="1" customWidth="1"/>
    <col min="10" max="10" width="10.375" style="1" customWidth="1"/>
    <col min="11" max="11" width="8.875" style="1" customWidth="1"/>
    <col min="12" max="12" width="10.375" style="1" customWidth="1"/>
    <col min="13" max="13" width="8.125" style="1" customWidth="1"/>
    <col min="14" max="14" width="10.875" style="1" customWidth="1"/>
    <col min="15" max="15" width="9.125" style="1" customWidth="1"/>
    <col min="16" max="16" width="8.75" style="1" customWidth="1"/>
    <col min="17" max="17" width="9.375" style="1" customWidth="1"/>
    <col min="18" max="18" width="6.375" style="1" hidden="1" customWidth="1"/>
    <col min="19" max="19" width="6.125" style="1" hidden="1" customWidth="1"/>
    <col min="20" max="20" width="5" style="1" hidden="1" customWidth="1"/>
    <col min="21" max="21" width="10" style="1" customWidth="1"/>
    <col min="22" max="22" width="10.125" style="1" customWidth="1"/>
    <col min="23" max="23" width="9.375" style="1" customWidth="1"/>
    <col min="24" max="24" width="12.625" style="1" customWidth="1"/>
    <col min="25" max="16384" width="9" style="1"/>
  </cols>
  <sheetData>
    <row r="1" spans="1:23">
      <c r="A1" s="1229" t="s">
        <v>686</v>
      </c>
      <c r="B1" s="1229"/>
      <c r="C1" s="1229"/>
      <c r="D1" s="54"/>
      <c r="E1" s="54"/>
      <c r="F1" s="54"/>
      <c r="G1" s="54"/>
      <c r="H1" s="54"/>
      <c r="I1" s="54"/>
      <c r="J1" s="54"/>
      <c r="K1" s="54"/>
      <c r="L1" s="54"/>
      <c r="M1" s="54"/>
      <c r="N1" s="54"/>
      <c r="O1" s="54"/>
      <c r="P1" s="54"/>
      <c r="Q1" s="54"/>
      <c r="R1" s="54"/>
      <c r="S1" s="54"/>
      <c r="T1" s="54"/>
      <c r="U1" s="54"/>
      <c r="V1" s="54"/>
    </row>
    <row r="2" spans="1:23">
      <c r="A2" s="1229" t="s">
        <v>687</v>
      </c>
      <c r="B2" s="1229"/>
      <c r="C2" s="1229"/>
      <c r="D2" s="54"/>
      <c r="E2" s="54"/>
      <c r="F2" s="54"/>
      <c r="G2" s="54"/>
      <c r="H2" s="54"/>
      <c r="I2" s="54"/>
      <c r="J2" s="54"/>
      <c r="K2" s="54"/>
      <c r="L2" s="54"/>
      <c r="M2" s="54"/>
      <c r="N2" s="54"/>
      <c r="O2" s="54"/>
      <c r="P2" s="54"/>
      <c r="Q2" s="54"/>
      <c r="R2" s="54"/>
      <c r="S2" s="54"/>
      <c r="T2" s="54"/>
      <c r="U2" s="54"/>
      <c r="V2" s="54"/>
    </row>
    <row r="3" spans="1:23">
      <c r="A3" s="25"/>
      <c r="B3" s="25"/>
      <c r="C3" s="25"/>
      <c r="D3" s="54"/>
      <c r="E3" s="54"/>
      <c r="F3" s="54"/>
      <c r="G3" s="54"/>
      <c r="H3" s="54"/>
      <c r="I3" s="54"/>
      <c r="J3" s="54"/>
      <c r="K3" s="54"/>
      <c r="L3" s="54"/>
      <c r="M3" s="54"/>
      <c r="N3" s="54"/>
      <c r="O3" s="54"/>
      <c r="P3" s="54"/>
      <c r="Q3" s="54"/>
      <c r="R3" s="54"/>
      <c r="S3" s="54"/>
      <c r="T3" s="54"/>
      <c r="U3" s="54"/>
      <c r="V3" s="54"/>
    </row>
    <row r="4" spans="1:23" ht="21" customHeight="1">
      <c r="A4" s="1213" t="s">
        <v>18</v>
      </c>
      <c r="B4" s="1213"/>
      <c r="C4" s="1213"/>
      <c r="D4" s="1213"/>
      <c r="E4" s="1213"/>
      <c r="F4" s="1213"/>
      <c r="G4" s="1213"/>
      <c r="H4" s="1213"/>
      <c r="I4" s="1213"/>
      <c r="J4" s="1213"/>
      <c r="K4" s="1213"/>
      <c r="L4" s="1213"/>
      <c r="M4" s="1213"/>
      <c r="N4" s="1213"/>
      <c r="O4" s="1213"/>
      <c r="P4" s="1213"/>
      <c r="Q4" s="1213"/>
      <c r="R4" s="1213"/>
      <c r="S4" s="1213"/>
      <c r="T4" s="1213"/>
      <c r="U4" s="1213"/>
      <c r="V4" s="1213"/>
    </row>
    <row r="5" spans="1:23" ht="17.25">
      <c r="A5" s="1213" t="s">
        <v>1201</v>
      </c>
      <c r="B5" s="1213"/>
      <c r="C5" s="1213"/>
      <c r="D5" s="1213"/>
      <c r="E5" s="1213"/>
      <c r="F5" s="1213"/>
      <c r="G5" s="1213"/>
      <c r="H5" s="1213"/>
      <c r="I5" s="1213"/>
      <c r="J5" s="1213"/>
      <c r="K5" s="1213"/>
      <c r="L5" s="1213"/>
      <c r="M5" s="1213"/>
      <c r="N5" s="1213"/>
      <c r="O5" s="1213"/>
      <c r="P5" s="1213"/>
      <c r="Q5" s="1213"/>
      <c r="R5" s="1213"/>
      <c r="S5" s="1213"/>
      <c r="T5" s="1213"/>
      <c r="U5" s="1213"/>
      <c r="V5" s="1213"/>
    </row>
    <row r="6" spans="1:23" ht="15.75">
      <c r="T6" s="1227" t="s">
        <v>1202</v>
      </c>
      <c r="U6" s="1227"/>
      <c r="V6" s="1227"/>
      <c r="W6" s="1227"/>
    </row>
    <row r="7" spans="1:23" s="58" customFormat="1" ht="19.5" customHeight="1">
      <c r="A7" s="1231" t="s">
        <v>76</v>
      </c>
      <c r="B7" s="1232" t="s">
        <v>421</v>
      </c>
      <c r="C7" s="1232" t="s">
        <v>1151</v>
      </c>
      <c r="D7" s="1228" t="s">
        <v>19</v>
      </c>
      <c r="E7" s="1228"/>
      <c r="F7" s="1228"/>
      <c r="G7" s="1228"/>
      <c r="H7" s="1228"/>
      <c r="I7" s="1228"/>
      <c r="J7" s="1228"/>
      <c r="K7" s="1228"/>
      <c r="L7" s="1228"/>
      <c r="M7" s="1228"/>
      <c r="N7" s="1228" t="s">
        <v>1199</v>
      </c>
      <c r="O7" s="1228" t="s">
        <v>19</v>
      </c>
      <c r="P7" s="1228"/>
      <c r="Q7" s="1228"/>
      <c r="R7" s="1228"/>
      <c r="S7" s="1228"/>
      <c r="T7" s="1228"/>
      <c r="U7" s="1228"/>
      <c r="V7" s="1228"/>
      <c r="W7" s="1228"/>
    </row>
    <row r="8" spans="1:23" s="58" customFormat="1" ht="21" customHeight="1">
      <c r="A8" s="1231"/>
      <c r="B8" s="1232"/>
      <c r="C8" s="1232"/>
      <c r="D8" s="1228" t="s">
        <v>544</v>
      </c>
      <c r="E8" s="1228"/>
      <c r="F8" s="1228"/>
      <c r="G8" s="1228"/>
      <c r="H8" s="1228"/>
      <c r="I8" s="1228"/>
      <c r="J8" s="1228" t="s">
        <v>545</v>
      </c>
      <c r="K8" s="1228"/>
      <c r="L8" s="1228"/>
      <c r="M8" s="1230" t="s">
        <v>717</v>
      </c>
      <c r="N8" s="1228"/>
      <c r="O8" s="1228" t="s">
        <v>544</v>
      </c>
      <c r="P8" s="1228"/>
      <c r="Q8" s="1228"/>
      <c r="R8" s="1228"/>
      <c r="S8" s="1228"/>
      <c r="T8" s="1228"/>
      <c r="U8" s="1228" t="s">
        <v>545</v>
      </c>
      <c r="V8" s="1228"/>
      <c r="W8" s="1230" t="s">
        <v>717</v>
      </c>
    </row>
    <row r="9" spans="1:23" s="58" customFormat="1" ht="14.25" customHeight="1">
      <c r="A9" s="1231"/>
      <c r="B9" s="1232"/>
      <c r="C9" s="1232"/>
      <c r="D9" s="1230" t="s">
        <v>83</v>
      </c>
      <c r="E9" s="1230" t="s">
        <v>20</v>
      </c>
      <c r="F9" s="1230"/>
      <c r="G9" s="1230"/>
      <c r="H9" s="1230" t="s">
        <v>556</v>
      </c>
      <c r="I9" s="1230"/>
      <c r="J9" s="1230" t="s">
        <v>83</v>
      </c>
      <c r="K9" s="1230" t="s">
        <v>556</v>
      </c>
      <c r="L9" s="1230"/>
      <c r="M9" s="1230"/>
      <c r="N9" s="1228"/>
      <c r="O9" s="1230" t="s">
        <v>83</v>
      </c>
      <c r="P9" s="1230" t="s">
        <v>20</v>
      </c>
      <c r="Q9" s="1230"/>
      <c r="R9" s="1230"/>
      <c r="S9" s="1230" t="s">
        <v>556</v>
      </c>
      <c r="T9" s="1230"/>
      <c r="U9" s="1230" t="s">
        <v>83</v>
      </c>
      <c r="V9" s="686"/>
      <c r="W9" s="1230"/>
    </row>
    <row r="10" spans="1:23" s="58" customFormat="1" ht="57">
      <c r="A10" s="1231"/>
      <c r="B10" s="1232"/>
      <c r="C10" s="1232"/>
      <c r="D10" s="1230"/>
      <c r="E10" s="686" t="s">
        <v>555</v>
      </c>
      <c r="F10" s="686" t="s">
        <v>558</v>
      </c>
      <c r="G10" s="686" t="s">
        <v>559</v>
      </c>
      <c r="H10" s="686" t="s">
        <v>560</v>
      </c>
      <c r="I10" s="686" t="s">
        <v>561</v>
      </c>
      <c r="J10" s="1230"/>
      <c r="K10" s="686" t="s">
        <v>560</v>
      </c>
      <c r="L10" s="686" t="s">
        <v>21</v>
      </c>
      <c r="M10" s="1230"/>
      <c r="N10" s="1228"/>
      <c r="O10" s="1230"/>
      <c r="P10" s="686" t="s">
        <v>555</v>
      </c>
      <c r="Q10" s="686" t="s">
        <v>558</v>
      </c>
      <c r="R10" s="686" t="s">
        <v>559</v>
      </c>
      <c r="S10" s="686" t="s">
        <v>560</v>
      </c>
      <c r="T10" s="686" t="s">
        <v>21</v>
      </c>
      <c r="U10" s="1230"/>
      <c r="V10" s="686" t="s">
        <v>21</v>
      </c>
      <c r="W10" s="1230"/>
    </row>
    <row r="11" spans="1:23" s="57" customFormat="1" ht="23.25" customHeight="1">
      <c r="A11" s="189">
        <v>1</v>
      </c>
      <c r="B11" s="188" t="s">
        <v>418</v>
      </c>
      <c r="C11" s="185">
        <f>D11+J11+M11</f>
        <v>16443271</v>
      </c>
      <c r="D11" s="189">
        <f>E11</f>
        <v>10367513</v>
      </c>
      <c r="E11" s="189">
        <f>11068505-700992</f>
        <v>10367513</v>
      </c>
      <c r="F11" s="190">
        <v>10367513</v>
      </c>
      <c r="G11" s="96"/>
      <c r="H11" s="96"/>
      <c r="I11" s="96"/>
      <c r="J11" s="98">
        <f>SUM(K11:L11)</f>
        <v>5895413</v>
      </c>
      <c r="K11" s="98"/>
      <c r="L11" s="98">
        <f>5377320-180345+175+700992-2729</f>
        <v>5895413</v>
      </c>
      <c r="M11" s="98">
        <v>180345</v>
      </c>
      <c r="N11" s="96">
        <f t="shared" ref="N11:N16" si="0">O11+U11</f>
        <v>4934733.4362014709</v>
      </c>
      <c r="O11" s="96"/>
      <c r="P11" s="96"/>
      <c r="Q11" s="96"/>
      <c r="R11" s="96"/>
      <c r="S11" s="96"/>
      <c r="T11" s="96"/>
      <c r="U11" s="96">
        <f t="shared" ref="U11:U16" si="1">V11+W11</f>
        <v>4934733.4362014709</v>
      </c>
      <c r="V11" s="96">
        <f>'DT chi xã 2019'!E70-'DT chi xã 2019'!E69</f>
        <v>4851987.6583511503</v>
      </c>
      <c r="W11" s="96">
        <f>'DT chi xã 2019'!E69</f>
        <v>82745.777850320723</v>
      </c>
    </row>
    <row r="12" spans="1:23" s="57" customFormat="1" ht="25.5" customHeight="1">
      <c r="A12" s="189">
        <v>2</v>
      </c>
      <c r="B12" s="188" t="s">
        <v>107</v>
      </c>
      <c r="C12" s="185">
        <f>D12+J12+M12</f>
        <v>14251000</v>
      </c>
      <c r="D12" s="189">
        <f t="shared" ref="D12:D16" si="2">E12</f>
        <v>8000000</v>
      </c>
      <c r="E12" s="189">
        <v>8000000</v>
      </c>
      <c r="F12" s="190">
        <v>8000000</v>
      </c>
      <c r="G12" s="96"/>
      <c r="H12" s="96"/>
      <c r="I12" s="96"/>
      <c r="J12" s="98">
        <f t="shared" ref="J12:J15" si="3">SUM(K12:L12)</f>
        <v>6151000</v>
      </c>
      <c r="K12" s="98"/>
      <c r="L12" s="98">
        <f>6361000-10000-200000</f>
        <v>6151000</v>
      </c>
      <c r="M12" s="98">
        <v>100000</v>
      </c>
      <c r="N12" s="96">
        <f t="shared" si="0"/>
        <v>4705690.5371800615</v>
      </c>
      <c r="O12" s="96"/>
      <c r="P12" s="96"/>
      <c r="Q12" s="96"/>
      <c r="R12" s="96"/>
      <c r="S12" s="96"/>
      <c r="T12" s="96"/>
      <c r="U12" s="96">
        <f t="shared" si="1"/>
        <v>4705690.5371800615</v>
      </c>
      <c r="V12" s="96">
        <f>'DT chi xã 2019'!H70-'DT chi xã 2019'!H69</f>
        <v>4626994.6337721627</v>
      </c>
      <c r="W12" s="96">
        <f>'DT chi xã 2019'!H69</f>
        <v>78695.903407898935</v>
      </c>
    </row>
    <row r="13" spans="1:23" s="57" customFormat="1" ht="26.25" customHeight="1">
      <c r="A13" s="189">
        <v>3</v>
      </c>
      <c r="B13" s="188" t="s">
        <v>815</v>
      </c>
      <c r="C13" s="185">
        <f t="shared" ref="C13:C17" si="4">D13+J13+M13</f>
        <v>14698018</v>
      </c>
      <c r="D13" s="189">
        <f t="shared" si="2"/>
        <v>8500000</v>
      </c>
      <c r="E13" s="189">
        <v>8500000</v>
      </c>
      <c r="F13" s="190">
        <v>8500000</v>
      </c>
      <c r="G13" s="96"/>
      <c r="H13" s="96"/>
      <c r="I13" s="96"/>
      <c r="J13" s="98">
        <f>SUM(K13:L13)</f>
        <v>6198018</v>
      </c>
      <c r="K13" s="98"/>
      <c r="L13" s="98">
        <f>6155000-70000-136304+349322-100000</f>
        <v>6198018</v>
      </c>
      <c r="M13" s="98">
        <v>0</v>
      </c>
      <c r="N13" s="96">
        <f t="shared" si="0"/>
        <v>4968898.7637796309</v>
      </c>
      <c r="O13" s="96"/>
      <c r="P13" s="96"/>
      <c r="Q13" s="96"/>
      <c r="R13" s="96"/>
      <c r="S13" s="96"/>
      <c r="T13" s="96"/>
      <c r="U13" s="96">
        <f t="shared" si="1"/>
        <v>4968898.7637796309</v>
      </c>
      <c r="V13" s="96">
        <f>'DT chi xã 2019'!K70-'DT chi xã 2019'!K69</f>
        <v>4883729.7631611498</v>
      </c>
      <c r="W13" s="96">
        <f>'DT chi xã 2019'!K69</f>
        <v>85169.000618481296</v>
      </c>
    </row>
    <row r="14" spans="1:23" s="57" customFormat="1" ht="24.75" customHeight="1">
      <c r="A14" s="189">
        <v>4</v>
      </c>
      <c r="B14" s="188" t="s">
        <v>816</v>
      </c>
      <c r="C14" s="185">
        <f t="shared" si="4"/>
        <v>11109363</v>
      </c>
      <c r="D14" s="189">
        <f t="shared" si="2"/>
        <v>6800000</v>
      </c>
      <c r="E14" s="189">
        <v>6800000</v>
      </c>
      <c r="F14" s="190">
        <v>6800000</v>
      </c>
      <c r="G14" s="96"/>
      <c r="H14" s="96"/>
      <c r="I14" s="96"/>
      <c r="J14" s="98">
        <f t="shared" si="3"/>
        <v>4309363</v>
      </c>
      <c r="K14" s="98"/>
      <c r="L14" s="98">
        <f>4479363-70000-100000</f>
        <v>4309363</v>
      </c>
      <c r="M14" s="98">
        <v>0</v>
      </c>
      <c r="N14" s="96">
        <f t="shared" si="0"/>
        <v>4956116.7200138941</v>
      </c>
      <c r="O14" s="96"/>
      <c r="P14" s="96"/>
      <c r="Q14" s="96"/>
      <c r="R14" s="96"/>
      <c r="S14" s="96"/>
      <c r="T14" s="96"/>
      <c r="U14" s="96">
        <f t="shared" si="1"/>
        <v>4956116.7200138941</v>
      </c>
      <c r="V14" s="96">
        <f>'DT chi xã 2019'!N70-'DT chi xã 2019'!N69</f>
        <v>4864624.2353077391</v>
      </c>
      <c r="W14" s="96">
        <f>'DT chi xã 2019'!N69</f>
        <v>91492.484706154777</v>
      </c>
    </row>
    <row r="15" spans="1:23" s="57" customFormat="1" ht="24.75" customHeight="1">
      <c r="A15" s="189">
        <v>5</v>
      </c>
      <c r="B15" s="188" t="s">
        <v>817</v>
      </c>
      <c r="C15" s="185">
        <f t="shared" si="4"/>
        <v>6721117</v>
      </c>
      <c r="D15" s="189">
        <f>E15</f>
        <v>2078000</v>
      </c>
      <c r="E15" s="189">
        <v>2078000</v>
      </c>
      <c r="F15" s="190">
        <v>2078000</v>
      </c>
      <c r="G15" s="96"/>
      <c r="H15" s="96"/>
      <c r="I15" s="96"/>
      <c r="J15" s="98">
        <f t="shared" si="3"/>
        <v>4643117</v>
      </c>
      <c r="K15" s="98"/>
      <c r="L15" s="98">
        <f>4709000-70000+4117</f>
        <v>4643117</v>
      </c>
      <c r="M15" s="98">
        <v>0</v>
      </c>
      <c r="N15" s="96">
        <f>O15+U15</f>
        <v>5121476.1389374239</v>
      </c>
      <c r="O15" s="96"/>
      <c r="P15" s="96"/>
      <c r="Q15" s="96"/>
      <c r="R15" s="96"/>
      <c r="S15" s="96"/>
      <c r="T15" s="96"/>
      <c r="U15" s="96">
        <f t="shared" si="1"/>
        <v>5121476.1389374239</v>
      </c>
      <c r="V15" s="96">
        <f>'DT chi xã 2019'!Q70-'DT chi xã 2019'!Q69</f>
        <v>5026741.312683749</v>
      </c>
      <c r="W15" s="96">
        <f>'DT chi xã 2019'!Q69</f>
        <v>94734.826253674983</v>
      </c>
    </row>
    <row r="16" spans="1:23" s="57" customFormat="1" ht="27" customHeight="1">
      <c r="A16" s="189">
        <v>6</v>
      </c>
      <c r="B16" s="188" t="s">
        <v>419</v>
      </c>
      <c r="C16" s="185">
        <f t="shared" si="4"/>
        <v>10583000</v>
      </c>
      <c r="D16" s="189">
        <f t="shared" si="2"/>
        <v>5374000</v>
      </c>
      <c r="E16" s="189">
        <v>5374000</v>
      </c>
      <c r="F16" s="190">
        <v>5374000</v>
      </c>
      <c r="G16" s="96"/>
      <c r="H16" s="96"/>
      <c r="I16" s="96"/>
      <c r="J16" s="98">
        <f>SUM(K16:L16)</f>
        <v>5209000</v>
      </c>
      <c r="K16" s="98"/>
      <c r="L16" s="98">
        <f>5398000-50000-39000-100000</f>
        <v>5209000</v>
      </c>
      <c r="M16" s="98">
        <v>0</v>
      </c>
      <c r="N16" s="96">
        <f t="shared" si="0"/>
        <v>5666084.3143632384</v>
      </c>
      <c r="O16" s="96">
        <f>P16</f>
        <v>1000000</v>
      </c>
      <c r="P16" s="96">
        <v>1000000</v>
      </c>
      <c r="Q16" s="96">
        <v>1000000</v>
      </c>
      <c r="R16" s="96"/>
      <c r="S16" s="96"/>
      <c r="T16" s="96"/>
      <c r="U16" s="96">
        <f t="shared" si="1"/>
        <v>4666084.3143632384</v>
      </c>
      <c r="V16" s="96">
        <f>'DT chi xã 2019'!T70-'DT chi xã 2019'!T69-1000000</f>
        <v>4579922.6023169002</v>
      </c>
      <c r="W16" s="96">
        <f>'DT chi xã 2019'!T69</f>
        <v>86161.712046337998</v>
      </c>
    </row>
    <row r="17" spans="1:24" s="52" customFormat="1" ht="24.75" customHeight="1">
      <c r="A17" s="191"/>
      <c r="B17" s="192" t="s">
        <v>420</v>
      </c>
      <c r="C17" s="388">
        <f t="shared" si="4"/>
        <v>73805769</v>
      </c>
      <c r="D17" s="191">
        <f t="shared" ref="D17:M17" si="5">SUM(D11:D16)</f>
        <v>41119513</v>
      </c>
      <c r="E17" s="191">
        <f t="shared" si="5"/>
        <v>41119513</v>
      </c>
      <c r="F17" s="191">
        <f t="shared" si="5"/>
        <v>41119513</v>
      </c>
      <c r="G17" s="97">
        <f t="shared" si="5"/>
        <v>0</v>
      </c>
      <c r="H17" s="97">
        <f t="shared" si="5"/>
        <v>0</v>
      </c>
      <c r="I17" s="97">
        <f t="shared" si="5"/>
        <v>0</v>
      </c>
      <c r="J17" s="97">
        <f>SUM(J11:J16)</f>
        <v>32405911</v>
      </c>
      <c r="K17" s="97">
        <f t="shared" si="5"/>
        <v>0</v>
      </c>
      <c r="L17" s="97">
        <f t="shared" si="5"/>
        <v>32405911</v>
      </c>
      <c r="M17" s="97">
        <f t="shared" si="5"/>
        <v>280345</v>
      </c>
      <c r="N17" s="97">
        <f>SUM(N11:N16)</f>
        <v>30352999.91047572</v>
      </c>
      <c r="O17" s="97">
        <f t="shared" ref="O17:T17" si="6">SUM(O11:O16)</f>
        <v>1000000</v>
      </c>
      <c r="P17" s="97">
        <f t="shared" si="6"/>
        <v>1000000</v>
      </c>
      <c r="Q17" s="97">
        <f t="shared" si="6"/>
        <v>1000000</v>
      </c>
      <c r="R17" s="97">
        <f t="shared" si="6"/>
        <v>0</v>
      </c>
      <c r="S17" s="97">
        <f t="shared" si="6"/>
        <v>0</v>
      </c>
      <c r="T17" s="97">
        <f t="shared" si="6"/>
        <v>0</v>
      </c>
      <c r="U17" s="97">
        <f>V17</f>
        <v>28834000.205592852</v>
      </c>
      <c r="V17" s="97">
        <f>SUM(V11:V16)</f>
        <v>28834000.205592852</v>
      </c>
      <c r="W17" s="97">
        <f>SUM(W11:W16)</f>
        <v>518999.70488286874</v>
      </c>
      <c r="X17" s="57"/>
    </row>
    <row r="18" spans="1:24" ht="18.75" customHeight="1">
      <c r="L18" s="387"/>
    </row>
    <row r="19" spans="1:24" ht="19.5" customHeight="1">
      <c r="O19" s="1235" t="s">
        <v>1212</v>
      </c>
      <c r="P19" s="1235"/>
      <c r="Q19" s="1235"/>
      <c r="R19" s="1235"/>
      <c r="S19" s="1235"/>
      <c r="T19" s="1235"/>
      <c r="U19" s="1235"/>
      <c r="V19" s="1235"/>
    </row>
    <row r="20" spans="1:24" ht="18">
      <c r="O20" s="1233" t="s">
        <v>563</v>
      </c>
      <c r="P20" s="1233"/>
      <c r="Q20" s="1233"/>
      <c r="R20" s="1233"/>
      <c r="S20" s="1233"/>
      <c r="T20" s="1233"/>
      <c r="U20" s="1233"/>
      <c r="V20" s="1233"/>
    </row>
    <row r="21" spans="1:24" ht="18">
      <c r="O21" s="1233" t="s">
        <v>546</v>
      </c>
      <c r="P21" s="1233"/>
      <c r="Q21" s="1233"/>
      <c r="R21" s="1233"/>
      <c r="S21" s="1233"/>
      <c r="T21" s="1233"/>
      <c r="U21" s="1233"/>
      <c r="V21" s="1233"/>
    </row>
    <row r="22" spans="1:24" ht="24" customHeight="1"/>
    <row r="27" spans="1:24" ht="16.5">
      <c r="O27" s="1234" t="s">
        <v>694</v>
      </c>
      <c r="P27" s="1234"/>
      <c r="Q27" s="1234"/>
      <c r="R27" s="1234"/>
      <c r="S27" s="1234"/>
      <c r="T27" s="1234"/>
      <c r="U27" s="1234"/>
      <c r="V27" s="1234"/>
    </row>
  </sheetData>
  <mergeCells count="30">
    <mergeCell ref="O21:V21"/>
    <mergeCell ref="O27:V27"/>
    <mergeCell ref="D9:D10"/>
    <mergeCell ref="O19:V19"/>
    <mergeCell ref="M8:M10"/>
    <mergeCell ref="D8:I8"/>
    <mergeCell ref="J9:J10"/>
    <mergeCell ref="H9:I9"/>
    <mergeCell ref="O9:O10"/>
    <mergeCell ref="P9:R9"/>
    <mergeCell ref="O20:V20"/>
    <mergeCell ref="S9:T9"/>
    <mergeCell ref="U9:U10"/>
    <mergeCell ref="J8:L8"/>
    <mergeCell ref="T6:W6"/>
    <mergeCell ref="N7:N10"/>
    <mergeCell ref="A1:C1"/>
    <mergeCell ref="A4:V4"/>
    <mergeCell ref="A5:V5"/>
    <mergeCell ref="A2:C2"/>
    <mergeCell ref="K9:L9"/>
    <mergeCell ref="E9:G9"/>
    <mergeCell ref="U8:V8"/>
    <mergeCell ref="O8:T8"/>
    <mergeCell ref="O7:W7"/>
    <mergeCell ref="W8:W10"/>
    <mergeCell ref="A7:A10"/>
    <mergeCell ref="B7:B10"/>
    <mergeCell ref="C7:C10"/>
    <mergeCell ref="D7:M7"/>
  </mergeCells>
  <phoneticPr fontId="53" type="noConversion"/>
  <pageMargins left="0" right="0" top="0.59" bottom="0.25" header="0.3" footer="0.3"/>
  <pageSetup paperSize="9" scale="80" orientation="landscape" r:id="rId1"/>
  <drawing r:id="rId2"/>
</worksheet>
</file>

<file path=xl/worksheets/sheet23.xml><?xml version="1.0" encoding="utf-8"?>
<worksheet xmlns="http://schemas.openxmlformats.org/spreadsheetml/2006/main" xmlns:r="http://schemas.openxmlformats.org/officeDocument/2006/relationships">
  <dimension ref="A1:J26"/>
  <sheetViews>
    <sheetView topLeftCell="A4" workbookViewId="0">
      <selection activeCell="M10" sqref="M10"/>
    </sheetView>
  </sheetViews>
  <sheetFormatPr defaultRowHeight="15"/>
  <cols>
    <col min="1" max="1" width="2.875" style="1" customWidth="1"/>
    <col min="2" max="2" width="19.375" style="1" customWidth="1"/>
    <col min="3" max="3" width="11.25" style="1" customWidth="1"/>
    <col min="4" max="4" width="10.75" style="1" customWidth="1"/>
    <col min="5" max="5" width="6.375" style="1" hidden="1" customWidth="1"/>
    <col min="6" max="6" width="6.125" style="1" hidden="1" customWidth="1"/>
    <col min="7" max="7" width="5" style="1" hidden="1" customWidth="1"/>
    <col min="8" max="8" width="12" style="1" customWidth="1"/>
    <col min="9" max="9" width="11.875" style="1" customWidth="1"/>
    <col min="10" max="10" width="12.625" style="1" customWidth="1"/>
    <col min="11" max="16384" width="9" style="1"/>
  </cols>
  <sheetData>
    <row r="1" spans="1:10">
      <c r="A1" s="1229" t="s">
        <v>686</v>
      </c>
      <c r="B1" s="1229"/>
      <c r="C1" s="54"/>
      <c r="D1" s="54"/>
      <c r="E1" s="54"/>
      <c r="F1" s="54"/>
      <c r="G1" s="54"/>
      <c r="H1" s="54"/>
    </row>
    <row r="2" spans="1:10">
      <c r="A2" s="1229" t="s">
        <v>687</v>
      </c>
      <c r="B2" s="1229"/>
      <c r="C2" s="54"/>
      <c r="D2" s="54"/>
      <c r="E2" s="54"/>
      <c r="F2" s="54"/>
      <c r="G2" s="54"/>
      <c r="H2" s="54"/>
    </row>
    <row r="3" spans="1:10">
      <c r="A3" s="391"/>
      <c r="B3" s="391"/>
      <c r="C3" s="54"/>
      <c r="D3" s="54"/>
      <c r="E3" s="54"/>
      <c r="F3" s="54"/>
      <c r="G3" s="54"/>
      <c r="H3" s="54"/>
    </row>
    <row r="4" spans="1:10" ht="16.5">
      <c r="A4" s="1210" t="s">
        <v>18</v>
      </c>
      <c r="B4" s="1210"/>
      <c r="C4" s="1210"/>
      <c r="D4" s="1210"/>
      <c r="E4" s="1210"/>
      <c r="F4" s="1210"/>
      <c r="G4" s="1210"/>
      <c r="H4" s="1210"/>
    </row>
    <row r="5" spans="1:10" ht="17.25">
      <c r="A5" s="1213" t="s">
        <v>814</v>
      </c>
      <c r="B5" s="1213"/>
      <c r="C5" s="1213"/>
      <c r="D5" s="1213"/>
      <c r="E5" s="1213"/>
      <c r="F5" s="1213"/>
      <c r="G5" s="1213"/>
      <c r="H5" s="1213"/>
    </row>
    <row r="6" spans="1:10" ht="15.75">
      <c r="G6" s="1227" t="s">
        <v>522</v>
      </c>
      <c r="H6" s="1227"/>
      <c r="I6" s="1227"/>
    </row>
    <row r="7" spans="1:10" s="58" customFormat="1" ht="19.5" customHeight="1">
      <c r="A7" s="1231" t="s">
        <v>76</v>
      </c>
      <c r="B7" s="1232" t="s">
        <v>421</v>
      </c>
      <c r="C7" s="1228" t="s">
        <v>819</v>
      </c>
      <c r="D7" s="1228" t="s">
        <v>19</v>
      </c>
      <c r="E7" s="1228"/>
      <c r="F7" s="1228"/>
      <c r="G7" s="1228"/>
      <c r="H7" s="1228"/>
      <c r="I7" s="1228"/>
    </row>
    <row r="8" spans="1:10" s="58" customFormat="1" ht="33" customHeight="1">
      <c r="A8" s="1231"/>
      <c r="B8" s="1232"/>
      <c r="C8" s="1228"/>
      <c r="D8" s="1236" t="s">
        <v>544</v>
      </c>
      <c r="E8" s="1237"/>
      <c r="F8" s="1237"/>
      <c r="G8" s="1238"/>
      <c r="H8" s="1022" t="s">
        <v>229</v>
      </c>
      <c r="I8" s="1228" t="s">
        <v>717</v>
      </c>
    </row>
    <row r="9" spans="1:10" s="58" customFormat="1" ht="57" customHeight="1">
      <c r="A9" s="1231"/>
      <c r="B9" s="1232"/>
      <c r="C9" s="1228"/>
      <c r="D9" s="1239"/>
      <c r="E9" s="1240"/>
      <c r="F9" s="1240"/>
      <c r="G9" s="1241"/>
      <c r="H9" s="1242"/>
      <c r="I9" s="1228"/>
    </row>
    <row r="10" spans="1:10" s="57" customFormat="1" ht="23.25" customHeight="1">
      <c r="A10" s="189">
        <v>1</v>
      </c>
      <c r="B10" s="188" t="s">
        <v>418</v>
      </c>
      <c r="C10" s="96">
        <f>D10+H10+I10</f>
        <v>0</v>
      </c>
      <c r="D10" s="96"/>
      <c r="E10" s="96"/>
      <c r="F10" s="96"/>
      <c r="G10" s="96"/>
      <c r="H10" s="96">
        <f>'DT chi xã 2019'!E84-'DT chi xã 2019'!E83</f>
        <v>0</v>
      </c>
      <c r="I10" s="96">
        <f>'DT chi xã 2019'!E83</f>
        <v>0</v>
      </c>
    </row>
    <row r="11" spans="1:10" s="57" customFormat="1" ht="20.25" customHeight="1">
      <c r="A11" s="189">
        <v>2</v>
      </c>
      <c r="B11" s="188" t="s">
        <v>107</v>
      </c>
      <c r="C11" s="96">
        <f t="shared" ref="C11:C15" si="0">D11+H11+I11</f>
        <v>0</v>
      </c>
      <c r="D11" s="96"/>
      <c r="E11" s="96"/>
      <c r="F11" s="96"/>
      <c r="G11" s="96"/>
      <c r="H11" s="96">
        <f>'DT chi xã 2019'!H84-'DT chi xã 2019'!H83</f>
        <v>0</v>
      </c>
      <c r="I11" s="96">
        <f>'DT chi xã 2019'!H83</f>
        <v>0</v>
      </c>
    </row>
    <row r="12" spans="1:10" s="57" customFormat="1" ht="17.25" customHeight="1">
      <c r="A12" s="189">
        <v>3</v>
      </c>
      <c r="B12" s="188" t="s">
        <v>815</v>
      </c>
      <c r="C12" s="96">
        <f t="shared" si="0"/>
        <v>0</v>
      </c>
      <c r="D12" s="96"/>
      <c r="E12" s="96"/>
      <c r="F12" s="96"/>
      <c r="G12" s="96"/>
      <c r="H12" s="96">
        <f>'DT chi xã 2019'!K84-'DT chi xã 2019'!K83</f>
        <v>0</v>
      </c>
      <c r="I12" s="96">
        <f>'DT chi xã 2019'!K83</f>
        <v>0</v>
      </c>
    </row>
    <row r="13" spans="1:10" s="57" customFormat="1" ht="20.25" customHeight="1">
      <c r="A13" s="189">
        <v>4</v>
      </c>
      <c r="B13" s="188" t="s">
        <v>816</v>
      </c>
      <c r="C13" s="96">
        <f t="shared" si="0"/>
        <v>0</v>
      </c>
      <c r="D13" s="96"/>
      <c r="E13" s="96"/>
      <c r="F13" s="96"/>
      <c r="G13" s="96"/>
      <c r="H13" s="96">
        <f>'DT chi xã 2019'!N84-'DT chi xã 2019'!N83</f>
        <v>0</v>
      </c>
      <c r="I13" s="96">
        <f>'DT chi xã 2019'!N83</f>
        <v>0</v>
      </c>
    </row>
    <row r="14" spans="1:10" s="57" customFormat="1" ht="18.75" customHeight="1">
      <c r="A14" s="189">
        <v>5</v>
      </c>
      <c r="B14" s="188" t="s">
        <v>817</v>
      </c>
      <c r="C14" s="96">
        <f t="shared" si="0"/>
        <v>0</v>
      </c>
      <c r="D14" s="96"/>
      <c r="E14" s="96"/>
      <c r="F14" s="96"/>
      <c r="G14" s="96"/>
      <c r="H14" s="96">
        <f>'DT chi xã 2019'!Q84-'DT chi xã 2019'!Q83</f>
        <v>0</v>
      </c>
      <c r="I14" s="96">
        <f>'DT chi xã 2019'!Q83</f>
        <v>0</v>
      </c>
    </row>
    <row r="15" spans="1:10" s="57" customFormat="1" ht="19.5" customHeight="1">
      <c r="A15" s="189">
        <v>6</v>
      </c>
      <c r="B15" s="188" t="s">
        <v>419</v>
      </c>
      <c r="C15" s="96">
        <f t="shared" si="0"/>
        <v>16003</v>
      </c>
      <c r="D15" s="96">
        <v>16000</v>
      </c>
      <c r="E15" s="96"/>
      <c r="F15" s="96"/>
      <c r="G15" s="96"/>
      <c r="H15" s="96">
        <f>'DT chi xã 2019'!T84-'DT chi xã 2019'!T82-'DT chi xã 2019'!T83+3</f>
        <v>3</v>
      </c>
      <c r="I15" s="96">
        <f>'DT chi xã 2019'!T83</f>
        <v>0</v>
      </c>
    </row>
    <row r="16" spans="1:10" s="52" customFormat="1" ht="24.75" customHeight="1">
      <c r="A16" s="191"/>
      <c r="B16" s="192" t="s">
        <v>420</v>
      </c>
      <c r="C16" s="97">
        <f>SUM(C10:C15)-3</f>
        <v>16000</v>
      </c>
      <c r="D16" s="97">
        <f t="shared" ref="D16:G16" si="1">SUM(D10:D15)</f>
        <v>16000</v>
      </c>
      <c r="E16" s="97">
        <f t="shared" si="1"/>
        <v>0</v>
      </c>
      <c r="F16" s="97">
        <f t="shared" si="1"/>
        <v>0</v>
      </c>
      <c r="G16" s="97">
        <f t="shared" si="1"/>
        <v>0</v>
      </c>
      <c r="H16" s="97">
        <f>SUM(H10:H15)</f>
        <v>3</v>
      </c>
      <c r="I16" s="97">
        <f>SUM(I10:I15)</f>
        <v>0</v>
      </c>
      <c r="J16" s="57"/>
    </row>
    <row r="17" spans="4:8" ht="18.75" customHeight="1"/>
    <row r="18" spans="4:8" ht="19.5" customHeight="1">
      <c r="D18" s="1235" t="s">
        <v>813</v>
      </c>
      <c r="E18" s="1235"/>
      <c r="F18" s="1235"/>
      <c r="G18" s="1235"/>
      <c r="H18" s="1235"/>
    </row>
    <row r="19" spans="4:8" ht="18">
      <c r="D19" s="1233" t="s">
        <v>563</v>
      </c>
      <c r="E19" s="1233"/>
      <c r="F19" s="1233"/>
      <c r="G19" s="1233"/>
      <c r="H19" s="1233"/>
    </row>
    <row r="20" spans="4:8" ht="18">
      <c r="D20" s="1233" t="s">
        <v>546</v>
      </c>
      <c r="E20" s="1233"/>
      <c r="F20" s="1233"/>
      <c r="G20" s="1233"/>
      <c r="H20" s="1233"/>
    </row>
    <row r="21" spans="4:8" ht="24" customHeight="1"/>
    <row r="26" spans="4:8" ht="16.5">
      <c r="D26" s="1234" t="s">
        <v>694</v>
      </c>
      <c r="E26" s="1234"/>
      <c r="F26" s="1234"/>
      <c r="G26" s="1234"/>
      <c r="H26" s="1234"/>
    </row>
  </sheetData>
  <mergeCells count="16">
    <mergeCell ref="D18:H18"/>
    <mergeCell ref="D19:H19"/>
    <mergeCell ref="D20:H20"/>
    <mergeCell ref="D26:H26"/>
    <mergeCell ref="D8:G9"/>
    <mergeCell ref="H8:H9"/>
    <mergeCell ref="D7:I7"/>
    <mergeCell ref="I8:I9"/>
    <mergeCell ref="A1:B1"/>
    <mergeCell ref="A2:B2"/>
    <mergeCell ref="A4:H4"/>
    <mergeCell ref="A5:H5"/>
    <mergeCell ref="G6:I6"/>
    <mergeCell ref="A7:A9"/>
    <mergeCell ref="B7:B9"/>
    <mergeCell ref="C7:C9"/>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sheetPr enableFormatConditionsCalculation="0">
    <tabColor rgb="FF00B0F0"/>
  </sheetPr>
  <dimension ref="A1:AB50"/>
  <sheetViews>
    <sheetView workbookViewId="0">
      <selection activeCell="AB8" sqref="AB8"/>
    </sheetView>
  </sheetViews>
  <sheetFormatPr defaultRowHeight="15"/>
  <cols>
    <col min="1" max="1" width="4.75" style="1" customWidth="1"/>
    <col min="2" max="2" width="30.75" style="1" customWidth="1"/>
    <col min="3" max="3" width="11.625" style="1" customWidth="1"/>
    <col min="4" max="4" width="7.625" style="1" hidden="1" customWidth="1"/>
    <col min="5" max="5" width="5.125" style="1" hidden="1" customWidth="1"/>
    <col min="6" max="6" width="5.375" style="1" hidden="1" customWidth="1"/>
    <col min="7" max="7" width="7.75" style="1" hidden="1" customWidth="1"/>
    <col min="8" max="8" width="7" style="1" hidden="1" customWidth="1"/>
    <col min="9" max="9" width="3.25" style="1" hidden="1" customWidth="1"/>
    <col min="10" max="10" width="10.375" style="1" customWidth="1"/>
    <col min="11" max="11" width="10.875" style="1" customWidth="1"/>
    <col min="12" max="12" width="11.125" style="1" customWidth="1"/>
    <col min="13" max="13" width="11.375" style="1" customWidth="1"/>
    <col min="14" max="14" width="10.625" style="1" hidden="1" customWidth="1"/>
    <col min="15" max="15" width="6.25" style="1" hidden="1" customWidth="1"/>
    <col min="16" max="16" width="6.125" style="1" hidden="1" customWidth="1"/>
    <col min="17" max="17" width="5.75" style="1" hidden="1" customWidth="1"/>
    <col min="18" max="18" width="7.25" style="1" hidden="1" customWidth="1"/>
    <col min="19" max="19" width="6.375" style="1" hidden="1" customWidth="1"/>
    <col min="20" max="20" width="9" style="1" hidden="1" customWidth="1"/>
    <col min="21" max="21" width="9.25" style="1" hidden="1" customWidth="1"/>
    <col min="22" max="22" width="10.125" style="1" hidden="1" customWidth="1"/>
    <col min="23" max="23" width="10" style="1" hidden="1" customWidth="1"/>
    <col min="24" max="24" width="9.125" style="1" hidden="1" customWidth="1"/>
    <col min="25" max="25" width="7.625" style="1" hidden="1" customWidth="1"/>
    <col min="26" max="26" width="10.25" style="1" hidden="1" customWidth="1"/>
    <col min="27" max="27" width="9.25" style="1" hidden="1" customWidth="1"/>
    <col min="28" max="28" width="10.875" style="1" bestFit="1" customWidth="1"/>
    <col min="29" max="29" width="11.625" style="1" customWidth="1"/>
    <col min="30" max="16384" width="9" style="1"/>
  </cols>
  <sheetData>
    <row r="1" spans="1:28" ht="17.25">
      <c r="B1" s="277" t="s">
        <v>413</v>
      </c>
      <c r="C1" s="277"/>
      <c r="D1" s="277"/>
      <c r="E1" s="277"/>
      <c r="F1" s="277"/>
      <c r="G1" s="277"/>
      <c r="H1" s="277"/>
      <c r="I1" s="277"/>
      <c r="J1" s="277"/>
      <c r="K1" s="277"/>
      <c r="L1" s="1028" t="s">
        <v>1673</v>
      </c>
      <c r="M1" s="1028"/>
      <c r="N1" s="277"/>
      <c r="P1" s="12"/>
      <c r="Q1" s="12"/>
      <c r="R1" s="12"/>
      <c r="S1" s="12"/>
      <c r="T1" s="12"/>
      <c r="U1" s="12"/>
      <c r="V1" s="12"/>
      <c r="W1" s="12"/>
      <c r="X1" s="12"/>
      <c r="Y1" s="12"/>
    </row>
    <row r="2" spans="1:28" ht="17.25">
      <c r="B2" s="899" t="s">
        <v>412</v>
      </c>
      <c r="C2" s="9"/>
      <c r="D2" s="9"/>
      <c r="E2" s="9"/>
      <c r="F2" s="9"/>
      <c r="G2" s="9"/>
      <c r="H2" s="9"/>
      <c r="I2" s="9"/>
      <c r="J2" s="9"/>
      <c r="K2" s="9"/>
      <c r="L2" s="393"/>
      <c r="M2" s="9"/>
    </row>
    <row r="3" spans="1:28" ht="9.75" customHeight="1">
      <c r="B3" s="9"/>
      <c r="C3" s="9"/>
      <c r="D3" s="9"/>
      <c r="E3" s="9"/>
      <c r="F3" s="9"/>
      <c r="G3" s="9"/>
      <c r="H3" s="9"/>
      <c r="I3" s="9"/>
      <c r="J3" s="747"/>
      <c r="K3" s="9"/>
      <c r="L3" s="9"/>
      <c r="M3" s="394"/>
    </row>
    <row r="4" spans="1:28" ht="24" customHeight="1">
      <c r="B4" s="1029" t="s">
        <v>1767</v>
      </c>
      <c r="C4" s="1029"/>
      <c r="D4" s="1029"/>
      <c r="E4" s="1029"/>
      <c r="F4" s="1029"/>
      <c r="G4" s="1029"/>
      <c r="H4" s="1029"/>
      <c r="I4" s="1029"/>
      <c r="J4" s="1029"/>
      <c r="K4" s="1029"/>
      <c r="L4" s="1029"/>
      <c r="M4" s="1029"/>
      <c r="N4" s="1029"/>
      <c r="O4" s="1029"/>
      <c r="P4" s="1029"/>
      <c r="Q4" s="1029"/>
      <c r="R4" s="1029"/>
      <c r="S4" s="1029"/>
      <c r="T4" s="1029"/>
      <c r="U4" s="1029"/>
      <c r="V4" s="1029"/>
      <c r="W4" s="1029"/>
      <c r="X4" s="1029"/>
      <c r="Y4" s="1029"/>
      <c r="Z4" s="1029"/>
      <c r="AA4" s="1029"/>
    </row>
    <row r="5" spans="1:28" ht="15.75" customHeight="1">
      <c r="B5" s="748"/>
      <c r="K5" s="1036" t="s">
        <v>808</v>
      </c>
      <c r="L5" s="1036"/>
      <c r="M5" s="1036"/>
      <c r="N5" s="1036"/>
      <c r="O5" s="1036"/>
      <c r="P5" s="1036"/>
      <c r="Q5" s="1036"/>
      <c r="R5" s="1036"/>
      <c r="S5" s="1036"/>
      <c r="T5" s="1036"/>
      <c r="U5" s="1036"/>
      <c r="V5" s="1036"/>
      <c r="W5" s="1036"/>
      <c r="X5" s="1036"/>
      <c r="Y5" s="1036"/>
      <c r="Z5" s="1036"/>
      <c r="AA5" s="1036"/>
    </row>
    <row r="6" spans="1:28" s="120" customFormat="1" ht="53.25" customHeight="1">
      <c r="A6" s="1037" t="s">
        <v>76</v>
      </c>
      <c r="B6" s="1030" t="s">
        <v>77</v>
      </c>
      <c r="C6" s="1030" t="s">
        <v>83</v>
      </c>
      <c r="D6" s="1031" t="s">
        <v>267</v>
      </c>
      <c r="E6" s="1020" t="s">
        <v>640</v>
      </c>
      <c r="F6" s="1031" t="s">
        <v>30</v>
      </c>
      <c r="G6" s="1031" t="s">
        <v>72</v>
      </c>
      <c r="H6" s="1031" t="s">
        <v>31</v>
      </c>
      <c r="I6" s="1031" t="s">
        <v>347</v>
      </c>
      <c r="J6" s="1033" t="s">
        <v>1768</v>
      </c>
      <c r="K6" s="1034"/>
      <c r="L6" s="1034"/>
      <c r="M6" s="1035"/>
      <c r="N6" s="1030" t="s">
        <v>83</v>
      </c>
      <c r="O6" s="246"/>
      <c r="P6" s="1041" t="s">
        <v>297</v>
      </c>
      <c r="Q6" s="1042"/>
      <c r="R6" s="1042"/>
      <c r="S6" s="1043"/>
      <c r="T6" s="1033" t="s">
        <v>823</v>
      </c>
      <c r="U6" s="1034"/>
      <c r="V6" s="1034"/>
      <c r="W6" s="1034"/>
      <c r="X6" s="1035"/>
      <c r="Y6" s="1033" t="s">
        <v>58</v>
      </c>
      <c r="Z6" s="1034"/>
      <c r="AA6" s="1035"/>
    </row>
    <row r="7" spans="1:28" s="120" customFormat="1" ht="69.75" customHeight="1">
      <c r="A7" s="1038"/>
      <c r="B7" s="1030"/>
      <c r="C7" s="1030"/>
      <c r="D7" s="1032"/>
      <c r="E7" s="1021"/>
      <c r="F7" s="1032"/>
      <c r="G7" s="1032"/>
      <c r="H7" s="1032"/>
      <c r="I7" s="1032"/>
      <c r="J7" s="43" t="s">
        <v>348</v>
      </c>
      <c r="K7" s="43" t="s">
        <v>30</v>
      </c>
      <c r="L7" s="43" t="s">
        <v>389</v>
      </c>
      <c r="M7" s="43" t="s">
        <v>31</v>
      </c>
      <c r="N7" s="1030"/>
      <c r="O7" s="43" t="s">
        <v>346</v>
      </c>
      <c r="P7" s="43" t="s">
        <v>30</v>
      </c>
      <c r="Q7" s="43" t="s">
        <v>72</v>
      </c>
      <c r="R7" s="43"/>
      <c r="S7" s="43" t="s">
        <v>31</v>
      </c>
      <c r="T7" s="43" t="s">
        <v>347</v>
      </c>
      <c r="U7" s="43" t="s">
        <v>348</v>
      </c>
      <c r="V7" s="43" t="s">
        <v>30</v>
      </c>
      <c r="W7" s="43" t="s">
        <v>72</v>
      </c>
      <c r="X7" s="43" t="s">
        <v>31</v>
      </c>
      <c r="Y7" s="21" t="s">
        <v>92</v>
      </c>
      <c r="Z7" s="21" t="s">
        <v>57</v>
      </c>
      <c r="AA7" s="21" t="s">
        <v>91</v>
      </c>
    </row>
    <row r="8" spans="1:28" s="2" customFormat="1" ht="30" customHeight="1">
      <c r="A8" s="97"/>
      <c r="B8" s="716" t="s">
        <v>0</v>
      </c>
      <c r="C8" s="287">
        <f>C9+C12+C16+C17+C18+C20+C21+C22+C25+C29+C19</f>
        <v>76400000</v>
      </c>
      <c r="D8" s="287"/>
      <c r="E8" s="287"/>
      <c r="F8" s="287"/>
      <c r="G8" s="287"/>
      <c r="H8" s="287"/>
      <c r="I8" s="287">
        <f t="shared" ref="I8:N8" si="0">I9+I12+I16+I17+I18+I20+I21+I22+I25+I29+I19</f>
        <v>0</v>
      </c>
      <c r="J8" s="287">
        <f t="shared" si="0"/>
        <v>2800000</v>
      </c>
      <c r="K8" s="287">
        <f>K9+K12+K16+K17+K18+K20+K21+K22+K25+K29+K19</f>
        <v>12970000</v>
      </c>
      <c r="L8" s="287">
        <f t="shared" si="0"/>
        <v>56502000</v>
      </c>
      <c r="M8" s="287">
        <f t="shared" si="0"/>
        <v>4128000</v>
      </c>
      <c r="N8" s="287" t="e">
        <f t="shared" si="0"/>
        <v>#REF!</v>
      </c>
      <c r="O8" s="287"/>
      <c r="P8" s="287"/>
      <c r="Q8" s="287"/>
      <c r="R8" s="287"/>
      <c r="S8" s="287"/>
      <c r="T8" s="287" t="e">
        <f t="shared" ref="T8:Y8" si="1">T9+T12+T16+T17+T18+T20+T21+T22+T25+T29+T19</f>
        <v>#REF!</v>
      </c>
      <c r="U8" s="287" t="e">
        <f t="shared" si="1"/>
        <v>#REF!</v>
      </c>
      <c r="V8" s="287" t="e">
        <f t="shared" si="1"/>
        <v>#REF!</v>
      </c>
      <c r="W8" s="287" t="e">
        <f t="shared" si="1"/>
        <v>#REF!</v>
      </c>
      <c r="X8" s="287" t="e">
        <f t="shared" si="1"/>
        <v>#REF!</v>
      </c>
      <c r="Y8" s="287" t="e">
        <f t="shared" si="1"/>
        <v>#REF!</v>
      </c>
      <c r="Z8" s="37" t="e">
        <f>L8-W8</f>
        <v>#REF!</v>
      </c>
      <c r="AA8" s="287" t="e">
        <f>M8-X8</f>
        <v>#REF!</v>
      </c>
    </row>
    <row r="9" spans="1:28" s="7" customFormat="1" ht="15.75">
      <c r="A9" s="100">
        <v>1</v>
      </c>
      <c r="B9" s="38" t="s">
        <v>1762</v>
      </c>
      <c r="C9" s="727">
        <f>C11+C10</f>
        <v>100000</v>
      </c>
      <c r="D9" s="727"/>
      <c r="E9" s="727"/>
      <c r="F9" s="727"/>
      <c r="G9" s="727"/>
      <c r="H9" s="727"/>
      <c r="I9" s="727"/>
      <c r="J9" s="727"/>
      <c r="K9" s="727">
        <f>K11+K10</f>
        <v>60000</v>
      </c>
      <c r="L9" s="727">
        <f>L11+L10</f>
        <v>40000</v>
      </c>
      <c r="M9" s="727"/>
      <c r="N9" s="727">
        <f>N10+N11</f>
        <v>500000</v>
      </c>
      <c r="O9" s="727"/>
      <c r="P9" s="727"/>
      <c r="Q9" s="727"/>
      <c r="R9" s="727"/>
      <c r="S9" s="727"/>
      <c r="T9" s="727"/>
      <c r="U9" s="727"/>
      <c r="V9" s="727">
        <f>V11+V10</f>
        <v>300000</v>
      </c>
      <c r="W9" s="727">
        <f>W11+W10</f>
        <v>200000</v>
      </c>
      <c r="X9" s="727"/>
      <c r="Y9" s="727"/>
      <c r="Z9" s="37">
        <f>L9-W9</f>
        <v>-160000</v>
      </c>
      <c r="AA9" s="287">
        <f t="shared" ref="AA9:AA28" si="2">M9-X9</f>
        <v>0</v>
      </c>
      <c r="AB9" s="2"/>
    </row>
    <row r="10" spans="1:28" s="7" customFormat="1" ht="15.75">
      <c r="A10" s="984" t="s">
        <v>550</v>
      </c>
      <c r="B10" s="986" t="s">
        <v>1763</v>
      </c>
      <c r="C10" s="724"/>
      <c r="D10" s="724"/>
      <c r="E10" s="724"/>
      <c r="F10" s="725"/>
      <c r="G10" s="726">
        <v>1</v>
      </c>
      <c r="H10" s="725"/>
      <c r="I10" s="724"/>
      <c r="J10" s="724"/>
      <c r="K10" s="724"/>
      <c r="L10" s="749">
        <f>C10*G10</f>
        <v>0</v>
      </c>
      <c r="M10" s="724"/>
      <c r="N10" s="724"/>
      <c r="O10" s="724"/>
      <c r="P10" s="724"/>
      <c r="Q10" s="725"/>
      <c r="R10" s="726">
        <v>1</v>
      </c>
      <c r="S10" s="725"/>
      <c r="T10" s="724"/>
      <c r="U10" s="724"/>
      <c r="V10" s="724"/>
      <c r="W10" s="724">
        <f>N10*R10</f>
        <v>0</v>
      </c>
      <c r="X10" s="724"/>
      <c r="Y10" s="724"/>
      <c r="Z10" s="273">
        <f>L10-W10</f>
        <v>0</v>
      </c>
      <c r="AA10" s="224">
        <f t="shared" si="2"/>
        <v>0</v>
      </c>
      <c r="AB10" s="2"/>
    </row>
    <row r="11" spans="1:28" s="7" customFormat="1" ht="15.75">
      <c r="A11" s="985" t="s">
        <v>550</v>
      </c>
      <c r="B11" s="987" t="s">
        <v>1764</v>
      </c>
      <c r="C11" s="719">
        <f>100000</f>
        <v>100000</v>
      </c>
      <c r="D11" s="719"/>
      <c r="E11" s="719"/>
      <c r="F11" s="436">
        <v>0.6</v>
      </c>
      <c r="G11" s="436">
        <v>0.4</v>
      </c>
      <c r="H11" s="720"/>
      <c r="I11" s="720"/>
      <c r="J11" s="719"/>
      <c r="K11" s="719">
        <f>C11*F11</f>
        <v>60000</v>
      </c>
      <c r="L11" s="719">
        <f>C11*G11</f>
        <v>40000</v>
      </c>
      <c r="M11" s="719"/>
      <c r="N11" s="719">
        <v>500000</v>
      </c>
      <c r="O11" s="719"/>
      <c r="P11" s="719"/>
      <c r="Q11" s="436">
        <v>0.6</v>
      </c>
      <c r="R11" s="436">
        <v>0.4</v>
      </c>
      <c r="S11" s="720"/>
      <c r="T11" s="720"/>
      <c r="U11" s="719"/>
      <c r="V11" s="719">
        <f>N11*Q11</f>
        <v>300000</v>
      </c>
      <c r="W11" s="719">
        <f>N11*R11</f>
        <v>200000</v>
      </c>
      <c r="X11" s="719"/>
      <c r="Y11" s="719"/>
      <c r="Z11" s="721">
        <f>L11-W11</f>
        <v>-160000</v>
      </c>
      <c r="AA11" s="722">
        <f t="shared" si="2"/>
        <v>0</v>
      </c>
      <c r="AB11" s="2"/>
    </row>
    <row r="12" spans="1:28" s="7" customFormat="1" ht="15.75">
      <c r="A12" s="100">
        <v>2</v>
      </c>
      <c r="B12" s="388" t="s">
        <v>163</v>
      </c>
      <c r="C12" s="727">
        <f t="shared" ref="C12:C22" si="3">SUM(J12:M12)</f>
        <v>11000000</v>
      </c>
      <c r="D12" s="727"/>
      <c r="E12" s="727"/>
      <c r="F12" s="727"/>
      <c r="G12" s="727"/>
      <c r="H12" s="727"/>
      <c r="I12" s="727"/>
      <c r="J12" s="988">
        <f>SUM(J13:J15)</f>
        <v>0</v>
      </c>
      <c r="K12" s="988">
        <f t="shared" ref="K12:M12" si="4">SUM(K13:K15)</f>
        <v>4760000</v>
      </c>
      <c r="L12" s="988">
        <f t="shared" si="4"/>
        <v>5925000</v>
      </c>
      <c r="M12" s="988">
        <f t="shared" si="4"/>
        <v>315000</v>
      </c>
      <c r="N12" s="727" t="e">
        <f>#REF!+N13+#REF!+#REF!+#REF!</f>
        <v>#REF!</v>
      </c>
      <c r="O12" s="727" t="e">
        <f>#REF!+O13+#REF!+#REF!+#REF!</f>
        <v>#REF!</v>
      </c>
      <c r="P12" s="727" t="e">
        <f>#REF!+P13+#REF!+#REF!+#REF!</f>
        <v>#REF!</v>
      </c>
      <c r="Q12" s="727" t="e">
        <f>#REF!+Q13+#REF!+#REF!+#REF!</f>
        <v>#REF!</v>
      </c>
      <c r="R12" s="727" t="e">
        <f>#REF!+R13+#REF!+#REF!+#REF!</f>
        <v>#REF!</v>
      </c>
      <c r="S12" s="727" t="e">
        <f>#REF!+S13+#REF!+#REF!+#REF!</f>
        <v>#REF!</v>
      </c>
      <c r="T12" s="727" t="e">
        <f>#REF!+T13+#REF!+#REF!+#REF!</f>
        <v>#REF!</v>
      </c>
      <c r="U12" s="727" t="e">
        <f>#REF!+U13+#REF!+#REF!+#REF!</f>
        <v>#REF!</v>
      </c>
      <c r="V12" s="727" t="e">
        <f>#REF!+V13+#REF!+#REF!+#REF!</f>
        <v>#REF!</v>
      </c>
      <c r="W12" s="727" t="e">
        <f>#REF!+W13+#REF!+#REF!+#REF!</f>
        <v>#REF!</v>
      </c>
      <c r="X12" s="727" t="e">
        <f>#REF!+X13+#REF!+#REF!+#REF!</f>
        <v>#REF!</v>
      </c>
      <c r="Y12" s="727" t="e">
        <f>#REF!+Y13+#REF!+#REF!+#REF!</f>
        <v>#REF!</v>
      </c>
      <c r="Z12" s="727" t="e">
        <f>#REF!+Z13+#REF!+#REF!+#REF!</f>
        <v>#REF!</v>
      </c>
      <c r="AA12" s="727" t="e">
        <f>#REF!+AA13+#REF!+#REF!+#REF!</f>
        <v>#REF!</v>
      </c>
      <c r="AB12" s="2"/>
    </row>
    <row r="13" spans="1:28" ht="15.75">
      <c r="A13" s="983" t="s">
        <v>550</v>
      </c>
      <c r="B13" s="307" t="s">
        <v>1764</v>
      </c>
      <c r="C13" s="226">
        <f t="shared" si="3"/>
        <v>10580000</v>
      </c>
      <c r="D13" s="226"/>
      <c r="E13" s="226"/>
      <c r="F13" s="234"/>
      <c r="G13" s="301"/>
      <c r="H13" s="301"/>
      <c r="I13" s="301"/>
      <c r="J13" s="226"/>
      <c r="K13" s="226">
        <v>4760000</v>
      </c>
      <c r="L13" s="226">
        <v>5595000</v>
      </c>
      <c r="M13" s="226">
        <v>225000</v>
      </c>
      <c r="N13" s="226" t="e">
        <f>N14+#REF!</f>
        <v>#REF!</v>
      </c>
      <c r="O13" s="226"/>
      <c r="P13" s="226"/>
      <c r="Q13" s="234"/>
      <c r="R13" s="301"/>
      <c r="S13" s="301"/>
      <c r="T13" s="301"/>
      <c r="U13" s="226"/>
      <c r="V13" s="226" t="e">
        <f>V14+#REF!</f>
        <v>#REF!</v>
      </c>
      <c r="W13" s="226" t="e">
        <f>W14+#REF!</f>
        <v>#REF!</v>
      </c>
      <c r="X13" s="226" t="e">
        <f>X14+#REF!</f>
        <v>#REF!</v>
      </c>
      <c r="Y13" s="226" t="e">
        <f>Y14+#REF!</f>
        <v>#REF!</v>
      </c>
      <c r="Z13" s="273" t="e">
        <f t="shared" ref="Z13:Z15" si="5">L13-W13</f>
        <v>#REF!</v>
      </c>
      <c r="AA13" s="291" t="e">
        <f t="shared" si="2"/>
        <v>#REF!</v>
      </c>
      <c r="AB13" s="2"/>
    </row>
    <row r="14" spans="1:28" s="11" customFormat="1" ht="15.75">
      <c r="A14" s="983" t="s">
        <v>550</v>
      </c>
      <c r="B14" s="307" t="s">
        <v>1765</v>
      </c>
      <c r="C14" s="226">
        <f t="shared" si="3"/>
        <v>20000</v>
      </c>
      <c r="D14" s="226"/>
      <c r="E14" s="226"/>
      <c r="F14" s="234"/>
      <c r="G14" s="234"/>
      <c r="H14" s="234"/>
      <c r="I14" s="234"/>
      <c r="J14" s="226"/>
      <c r="K14" s="226"/>
      <c r="L14" s="226">
        <v>10000</v>
      </c>
      <c r="M14" s="226">
        <v>10000</v>
      </c>
      <c r="N14" s="236" t="e">
        <f>N15+#REF!</f>
        <v>#REF!</v>
      </c>
      <c r="O14" s="236"/>
      <c r="P14" s="236"/>
      <c r="Q14" s="304"/>
      <c r="R14" s="304"/>
      <c r="S14" s="304"/>
      <c r="T14" s="304"/>
      <c r="U14" s="236"/>
      <c r="V14" s="236"/>
      <c r="W14" s="236" t="e">
        <f>W15+#REF!</f>
        <v>#REF!</v>
      </c>
      <c r="X14" s="236" t="e">
        <f>X15+#REF!</f>
        <v>#REF!</v>
      </c>
      <c r="Y14" s="236" t="e">
        <f>Y15+#REF!</f>
        <v>#REF!</v>
      </c>
      <c r="Z14" s="273" t="e">
        <f t="shared" si="5"/>
        <v>#REF!</v>
      </c>
      <c r="AA14" s="291" t="e">
        <f t="shared" si="2"/>
        <v>#REF!</v>
      </c>
      <c r="AB14" s="2"/>
    </row>
    <row r="15" spans="1:28" s="11" customFormat="1" ht="15.75">
      <c r="A15" s="983" t="s">
        <v>550</v>
      </c>
      <c r="B15" s="307" t="s">
        <v>1766</v>
      </c>
      <c r="C15" s="714">
        <f t="shared" si="3"/>
        <v>400000</v>
      </c>
      <c r="D15" s="226"/>
      <c r="E15" s="226"/>
      <c r="F15" s="234"/>
      <c r="G15" s="234"/>
      <c r="H15" s="234"/>
      <c r="I15" s="234"/>
      <c r="J15" s="226"/>
      <c r="K15" s="226"/>
      <c r="L15" s="226">
        <v>320000</v>
      </c>
      <c r="M15" s="226">
        <v>80000</v>
      </c>
      <c r="N15" s="236">
        <v>200000</v>
      </c>
      <c r="O15" s="236"/>
      <c r="P15" s="236"/>
      <c r="Q15" s="304"/>
      <c r="R15" s="304">
        <v>0.8</v>
      </c>
      <c r="S15" s="304">
        <v>0.2</v>
      </c>
      <c r="T15" s="304"/>
      <c r="U15" s="236"/>
      <c r="V15" s="236"/>
      <c r="W15" s="236">
        <f>N15*R15</f>
        <v>160000</v>
      </c>
      <c r="X15" s="236">
        <f>N15*S15</f>
        <v>40000</v>
      </c>
      <c r="Y15" s="236">
        <f>N15*T15</f>
        <v>0</v>
      </c>
      <c r="Z15" s="273">
        <f t="shared" si="5"/>
        <v>160000</v>
      </c>
      <c r="AA15" s="291">
        <f t="shared" si="2"/>
        <v>40000</v>
      </c>
      <c r="AB15" s="2"/>
    </row>
    <row r="16" spans="1:28" ht="15.75">
      <c r="A16" s="100">
        <v>3</v>
      </c>
      <c r="B16" s="388" t="s">
        <v>340</v>
      </c>
      <c r="C16" s="727">
        <f t="shared" si="3"/>
        <v>22200000</v>
      </c>
      <c r="D16" s="727"/>
      <c r="E16" s="727"/>
      <c r="F16" s="732"/>
      <c r="G16" s="732"/>
      <c r="H16" s="732"/>
      <c r="I16" s="732"/>
      <c r="J16" s="727"/>
      <c r="K16" s="727"/>
      <c r="L16" s="727">
        <v>21000000</v>
      </c>
      <c r="M16" s="727">
        <v>1200000</v>
      </c>
      <c r="N16" s="727" t="e">
        <f>#REF!+#REF!</f>
        <v>#REF!</v>
      </c>
      <c r="O16" s="727"/>
      <c r="P16" s="727"/>
      <c r="Q16" s="732"/>
      <c r="R16" s="732"/>
      <c r="S16" s="732"/>
      <c r="T16" s="732"/>
      <c r="U16" s="727"/>
      <c r="V16" s="727"/>
      <c r="W16" s="727" t="e">
        <f>#REF!+#REF!</f>
        <v>#REF!</v>
      </c>
      <c r="X16" s="727" t="e">
        <f>#REF!+#REF!</f>
        <v>#REF!</v>
      </c>
      <c r="Y16" s="727" t="e">
        <f>#REF!+#REF!</f>
        <v>#REF!</v>
      </c>
      <c r="Z16" s="37" t="e">
        <f t="shared" ref="Z16:Z21" si="6">L16-W16</f>
        <v>#REF!</v>
      </c>
      <c r="AA16" s="287" t="e">
        <f t="shared" si="2"/>
        <v>#REF!</v>
      </c>
      <c r="AB16" s="2"/>
    </row>
    <row r="17" spans="1:28" ht="15.75">
      <c r="A17" s="100">
        <v>4</v>
      </c>
      <c r="B17" s="388" t="s">
        <v>237</v>
      </c>
      <c r="C17" s="727">
        <f t="shared" si="3"/>
        <v>1000000</v>
      </c>
      <c r="D17" s="287"/>
      <c r="E17" s="287"/>
      <c r="F17" s="733"/>
      <c r="G17" s="733"/>
      <c r="H17" s="733"/>
      <c r="I17" s="733"/>
      <c r="J17" s="287"/>
      <c r="K17" s="287"/>
      <c r="L17" s="287"/>
      <c r="M17" s="727">
        <v>1000000</v>
      </c>
      <c r="N17" s="287">
        <v>950000</v>
      </c>
      <c r="O17" s="287"/>
      <c r="P17" s="287"/>
      <c r="Q17" s="733"/>
      <c r="R17" s="733"/>
      <c r="S17" s="733">
        <v>1</v>
      </c>
      <c r="T17" s="733"/>
      <c r="U17" s="287"/>
      <c r="V17" s="287"/>
      <c r="W17" s="287"/>
      <c r="X17" s="727">
        <f>N17*S17</f>
        <v>950000</v>
      </c>
      <c r="Y17" s="727">
        <f>N17*T17</f>
        <v>0</v>
      </c>
      <c r="Z17" s="37">
        <f t="shared" si="6"/>
        <v>0</v>
      </c>
      <c r="AA17" s="287">
        <f t="shared" si="2"/>
        <v>50000</v>
      </c>
      <c r="AB17" s="2"/>
    </row>
    <row r="18" spans="1:28" ht="15.75">
      <c r="A18" s="100">
        <v>5</v>
      </c>
      <c r="B18" s="388" t="s">
        <v>1770</v>
      </c>
      <c r="C18" s="727">
        <f t="shared" si="3"/>
        <v>4500000</v>
      </c>
      <c r="D18" s="727"/>
      <c r="E18" s="727"/>
      <c r="F18" s="732">
        <v>0.5</v>
      </c>
      <c r="G18" s="732">
        <v>0.5</v>
      </c>
      <c r="H18" s="732"/>
      <c r="I18" s="732"/>
      <c r="J18" s="727"/>
      <c r="K18" s="727"/>
      <c r="L18" s="727">
        <v>4500000</v>
      </c>
      <c r="M18" s="727"/>
      <c r="N18" s="727">
        <v>5000000</v>
      </c>
      <c r="O18" s="727"/>
      <c r="P18" s="727"/>
      <c r="Q18" s="732">
        <v>0.5</v>
      </c>
      <c r="R18" s="732">
        <v>0.5</v>
      </c>
      <c r="S18" s="732"/>
      <c r="T18" s="732"/>
      <c r="U18" s="727"/>
      <c r="V18" s="727">
        <f>N18*Q18</f>
        <v>2500000</v>
      </c>
      <c r="W18" s="727">
        <f>N18*R18</f>
        <v>2500000</v>
      </c>
      <c r="X18" s="727"/>
      <c r="Y18" s="727"/>
      <c r="Z18" s="37">
        <f t="shared" si="6"/>
        <v>2000000</v>
      </c>
      <c r="AA18" s="287">
        <f t="shared" si="2"/>
        <v>0</v>
      </c>
      <c r="AB18" s="2"/>
    </row>
    <row r="19" spans="1:28" ht="15.75">
      <c r="A19" s="100">
        <v>6</v>
      </c>
      <c r="B19" s="734" t="s">
        <v>1243</v>
      </c>
      <c r="C19" s="727">
        <f t="shared" si="3"/>
        <v>500000</v>
      </c>
      <c r="D19" s="735"/>
      <c r="E19" s="735"/>
      <c r="F19" s="736">
        <v>0.5</v>
      </c>
      <c r="G19" s="736">
        <v>0.5</v>
      </c>
      <c r="H19" s="736"/>
      <c r="I19" s="736"/>
      <c r="J19" s="735"/>
      <c r="K19" s="727">
        <v>250000</v>
      </c>
      <c r="L19" s="727">
        <v>250000</v>
      </c>
      <c r="M19" s="735"/>
      <c r="N19" s="735">
        <v>500000</v>
      </c>
      <c r="O19" s="735"/>
      <c r="P19" s="735"/>
      <c r="Q19" s="736">
        <v>0.5</v>
      </c>
      <c r="R19" s="736">
        <v>0.5</v>
      </c>
      <c r="S19" s="736"/>
      <c r="T19" s="736"/>
      <c r="U19" s="735"/>
      <c r="V19" s="727">
        <f>N19*Q19</f>
        <v>250000</v>
      </c>
      <c r="W19" s="727">
        <f>N19*R19</f>
        <v>250000</v>
      </c>
      <c r="X19" s="735"/>
      <c r="Y19" s="735"/>
      <c r="Z19" s="37">
        <f t="shared" si="6"/>
        <v>0</v>
      </c>
      <c r="AA19" s="287">
        <f t="shared" si="2"/>
        <v>0</v>
      </c>
      <c r="AB19" s="2"/>
    </row>
    <row r="20" spans="1:28" ht="15.75">
      <c r="A20" s="100">
        <v>7</v>
      </c>
      <c r="B20" s="388" t="s">
        <v>1769</v>
      </c>
      <c r="C20" s="727">
        <f t="shared" si="3"/>
        <v>2300000</v>
      </c>
      <c r="D20" s="727"/>
      <c r="E20" s="727"/>
      <c r="F20" s="732"/>
      <c r="G20" s="732"/>
      <c r="H20" s="732"/>
      <c r="I20" s="732"/>
      <c r="J20" s="727">
        <v>300000</v>
      </c>
      <c r="K20" s="727"/>
      <c r="L20" s="727">
        <v>1687000</v>
      </c>
      <c r="M20" s="727">
        <v>313000</v>
      </c>
      <c r="N20" s="727" t="e">
        <f>#REF!+#REF!+#REF!</f>
        <v>#REF!</v>
      </c>
      <c r="O20" s="727"/>
      <c r="P20" s="727"/>
      <c r="Q20" s="732"/>
      <c r="R20" s="732"/>
      <c r="S20" s="732"/>
      <c r="T20" s="732"/>
      <c r="U20" s="727"/>
      <c r="V20" s="727"/>
      <c r="W20" s="727" t="e">
        <f>#REF!+#REF!+#REF!</f>
        <v>#REF!</v>
      </c>
      <c r="X20" s="727" t="e">
        <f>#REF!+#REF!+#REF!</f>
        <v>#REF!</v>
      </c>
      <c r="Y20" s="727" t="e">
        <f>#REF!+#REF!+#REF!</f>
        <v>#REF!</v>
      </c>
      <c r="Z20" s="37" t="e">
        <f t="shared" si="6"/>
        <v>#REF!</v>
      </c>
      <c r="AA20" s="287" t="e">
        <f t="shared" si="2"/>
        <v>#REF!</v>
      </c>
      <c r="AB20" s="2"/>
    </row>
    <row r="21" spans="1:28" ht="18.75" customHeight="1">
      <c r="A21" s="100">
        <v>8</v>
      </c>
      <c r="B21" s="38" t="s">
        <v>238</v>
      </c>
      <c r="C21" s="727">
        <f t="shared" si="3"/>
        <v>25000000</v>
      </c>
      <c r="D21" s="431"/>
      <c r="E21" s="431"/>
      <c r="F21" s="742"/>
      <c r="G21" s="742"/>
      <c r="H21" s="742"/>
      <c r="I21" s="431"/>
      <c r="J21" s="431"/>
      <c r="K21" s="431">
        <v>6900000</v>
      </c>
      <c r="L21" s="431">
        <v>17100000</v>
      </c>
      <c r="M21" s="431">
        <v>1000000</v>
      </c>
      <c r="N21" s="431" t="e">
        <f>#REF!</f>
        <v>#REF!</v>
      </c>
      <c r="O21" s="431"/>
      <c r="P21" s="431"/>
      <c r="Q21" s="742"/>
      <c r="R21" s="742"/>
      <c r="S21" s="742"/>
      <c r="T21" s="431"/>
      <c r="U21" s="431"/>
      <c r="V21" s="431" t="e">
        <f>#REF!</f>
        <v>#REF!</v>
      </c>
      <c r="W21" s="431" t="e">
        <f>#REF!</f>
        <v>#REF!</v>
      </c>
      <c r="X21" s="431" t="e">
        <f>#REF!</f>
        <v>#REF!</v>
      </c>
      <c r="Y21" s="431" t="e">
        <f>#REF!</f>
        <v>#REF!</v>
      </c>
      <c r="Z21" s="37" t="e">
        <f t="shared" si="6"/>
        <v>#REF!</v>
      </c>
      <c r="AA21" s="287" t="e">
        <f t="shared" si="2"/>
        <v>#REF!</v>
      </c>
      <c r="AB21" s="2"/>
    </row>
    <row r="22" spans="1:28" ht="17.25" customHeight="1">
      <c r="A22" s="100">
        <v>9</v>
      </c>
      <c r="B22" s="97" t="s">
        <v>1240</v>
      </c>
      <c r="C22" s="727">
        <f t="shared" si="3"/>
        <v>5500000</v>
      </c>
      <c r="D22" s="431"/>
      <c r="E22" s="431"/>
      <c r="F22" s="742"/>
      <c r="G22" s="742"/>
      <c r="H22" s="742"/>
      <c r="I22" s="431"/>
      <c r="J22" s="431"/>
      <c r="K22" s="431"/>
      <c r="L22" s="431">
        <v>5500000</v>
      </c>
      <c r="M22" s="431"/>
      <c r="N22" s="431">
        <f>N24</f>
        <v>6050000</v>
      </c>
      <c r="O22" s="431"/>
      <c r="P22" s="431"/>
      <c r="Q22" s="742"/>
      <c r="R22" s="742"/>
      <c r="S22" s="742"/>
      <c r="T22" s="431"/>
      <c r="U22" s="431"/>
      <c r="V22" s="431"/>
      <c r="W22" s="431">
        <f>W24</f>
        <v>6050000</v>
      </c>
      <c r="X22" s="431"/>
      <c r="Y22" s="431"/>
      <c r="Z22" s="37">
        <f>L22-W22</f>
        <v>-550000</v>
      </c>
      <c r="AA22" s="287">
        <f t="shared" si="2"/>
        <v>0</v>
      </c>
      <c r="AB22" s="2"/>
    </row>
    <row r="23" spans="1:28" ht="16.5" customHeight="1">
      <c r="A23" s="723"/>
      <c r="B23" s="715" t="s">
        <v>645</v>
      </c>
      <c r="C23" s="989"/>
      <c r="D23" s="740"/>
      <c r="E23" s="740"/>
      <c r="F23" s="741"/>
      <c r="G23" s="741">
        <v>0.2</v>
      </c>
      <c r="H23" s="741">
        <v>0.8</v>
      </c>
      <c r="I23" s="740"/>
      <c r="J23" s="740"/>
      <c r="K23" s="740"/>
      <c r="L23" s="740"/>
      <c r="M23" s="740"/>
      <c r="N23" s="740"/>
      <c r="O23" s="740"/>
      <c r="P23" s="740"/>
      <c r="Q23" s="741"/>
      <c r="R23" s="741">
        <v>0.2</v>
      </c>
      <c r="S23" s="741">
        <v>0.8</v>
      </c>
      <c r="T23" s="740"/>
      <c r="U23" s="740"/>
      <c r="V23" s="740"/>
      <c r="W23" s="740"/>
      <c r="X23" s="740"/>
      <c r="Y23" s="740"/>
      <c r="Z23" s="273">
        <f t="shared" ref="Z23:Z29" si="7">L23-W23</f>
        <v>0</v>
      </c>
      <c r="AA23" s="291">
        <f t="shared" si="2"/>
        <v>0</v>
      </c>
      <c r="AB23" s="2"/>
    </row>
    <row r="24" spans="1:28" ht="19.5" customHeight="1">
      <c r="A24" s="728"/>
      <c r="B24" s="737" t="s">
        <v>646</v>
      </c>
      <c r="C24" s="990">
        <f>SUM(J24:M24)</f>
        <v>5500000</v>
      </c>
      <c r="D24" s="738"/>
      <c r="E24" s="738"/>
      <c r="F24" s="739"/>
      <c r="G24" s="739">
        <v>1</v>
      </c>
      <c r="H24" s="739"/>
      <c r="I24" s="738"/>
      <c r="J24" s="738"/>
      <c r="K24" s="738"/>
      <c r="L24" s="738">
        <v>5500000</v>
      </c>
      <c r="M24" s="738"/>
      <c r="N24" s="738">
        <v>6050000</v>
      </c>
      <c r="O24" s="738"/>
      <c r="P24" s="738"/>
      <c r="Q24" s="739"/>
      <c r="R24" s="739">
        <v>1</v>
      </c>
      <c r="S24" s="739"/>
      <c r="T24" s="738"/>
      <c r="U24" s="738"/>
      <c r="V24" s="738"/>
      <c r="W24" s="738">
        <f>N24*R24</f>
        <v>6050000</v>
      </c>
      <c r="X24" s="738"/>
      <c r="Y24" s="738"/>
      <c r="Z24" s="721">
        <f>L24-W24</f>
        <v>-550000</v>
      </c>
      <c r="AA24" s="731">
        <f t="shared" si="2"/>
        <v>0</v>
      </c>
      <c r="AB24" s="2"/>
    </row>
    <row r="25" spans="1:28" ht="15.75">
      <c r="A25" s="100">
        <v>10</v>
      </c>
      <c r="B25" s="97" t="s">
        <v>1241</v>
      </c>
      <c r="C25" s="431">
        <f>C26+C28+C27</f>
        <v>4000000</v>
      </c>
      <c r="D25" s="431">
        <f t="shared" ref="D25:M25" si="8">D26+D28+D27</f>
        <v>1</v>
      </c>
      <c r="E25" s="431">
        <f t="shared" si="8"/>
        <v>0</v>
      </c>
      <c r="F25" s="431">
        <f t="shared" si="8"/>
        <v>0</v>
      </c>
      <c r="G25" s="431">
        <f t="shared" si="8"/>
        <v>1</v>
      </c>
      <c r="H25" s="431">
        <f t="shared" si="8"/>
        <v>0</v>
      </c>
      <c r="I25" s="431">
        <f t="shared" si="8"/>
        <v>0</v>
      </c>
      <c r="J25" s="431">
        <f t="shared" si="8"/>
        <v>2500000</v>
      </c>
      <c r="K25" s="431">
        <f>K26+K27</f>
        <v>1000000</v>
      </c>
      <c r="L25" s="431">
        <f>L26+L28+K28</f>
        <v>500000</v>
      </c>
      <c r="M25" s="431">
        <f t="shared" si="8"/>
        <v>0</v>
      </c>
      <c r="N25" s="431">
        <f>N26+N27+N28</f>
        <v>4800000</v>
      </c>
      <c r="O25" s="431">
        <f t="shared" ref="O25:T25" si="9">O26+O27+O28</f>
        <v>0.7</v>
      </c>
      <c r="P25" s="431">
        <f t="shared" si="9"/>
        <v>0</v>
      </c>
      <c r="Q25" s="431">
        <f t="shared" si="9"/>
        <v>0.3</v>
      </c>
      <c r="R25" s="431">
        <f t="shared" si="9"/>
        <v>1</v>
      </c>
      <c r="S25" s="431">
        <f t="shared" si="9"/>
        <v>0</v>
      </c>
      <c r="T25" s="431">
        <f t="shared" si="9"/>
        <v>0</v>
      </c>
      <c r="U25" s="431">
        <f>U26+U27+U28</f>
        <v>1550000</v>
      </c>
      <c r="V25" s="431">
        <f>V26+V28</f>
        <v>2450000</v>
      </c>
      <c r="W25" s="431">
        <f>W26+W28</f>
        <v>800000</v>
      </c>
      <c r="X25" s="431"/>
      <c r="Y25" s="431"/>
      <c r="Z25" s="37">
        <f t="shared" si="7"/>
        <v>-300000</v>
      </c>
      <c r="AA25" s="287">
        <f t="shared" si="2"/>
        <v>0</v>
      </c>
      <c r="AB25" s="2"/>
    </row>
    <row r="26" spans="1:28" s="11" customFormat="1" ht="15.75">
      <c r="A26" s="743"/>
      <c r="B26" s="717" t="s">
        <v>70</v>
      </c>
      <c r="C26" s="740">
        <v>2500000</v>
      </c>
      <c r="D26" s="741">
        <v>1</v>
      </c>
      <c r="E26" s="744"/>
      <c r="F26" s="745"/>
      <c r="G26" s="745"/>
      <c r="H26" s="745"/>
      <c r="I26" s="745"/>
      <c r="J26" s="740">
        <v>2500000</v>
      </c>
      <c r="K26" s="740"/>
      <c r="L26" s="740">
        <f>C26*F26</f>
        <v>0</v>
      </c>
      <c r="M26" s="740"/>
      <c r="N26" s="740">
        <v>3500000</v>
      </c>
      <c r="O26" s="741">
        <v>0.7</v>
      </c>
      <c r="P26" s="740"/>
      <c r="Q26" s="741">
        <v>0.3</v>
      </c>
      <c r="R26" s="741"/>
      <c r="S26" s="741"/>
      <c r="T26" s="741"/>
      <c r="U26" s="740">
        <f>N26*30%</f>
        <v>1050000</v>
      </c>
      <c r="V26" s="740">
        <f>N26*70%</f>
        <v>2450000</v>
      </c>
      <c r="W26" s="744"/>
      <c r="X26" s="744"/>
      <c r="Y26" s="744"/>
      <c r="Z26" s="273">
        <f t="shared" si="7"/>
        <v>0</v>
      </c>
      <c r="AA26" s="291">
        <f t="shared" si="2"/>
        <v>0</v>
      </c>
      <c r="AB26" s="2"/>
    </row>
    <row r="27" spans="1:28" s="11" customFormat="1" ht="45.75" customHeight="1">
      <c r="A27" s="718"/>
      <c r="B27" s="972" t="s">
        <v>1747</v>
      </c>
      <c r="C27" s="225">
        <v>1000000</v>
      </c>
      <c r="D27" s="229"/>
      <c r="E27" s="231"/>
      <c r="F27" s="232"/>
      <c r="G27" s="232"/>
      <c r="H27" s="232"/>
      <c r="I27" s="232"/>
      <c r="J27" s="225"/>
      <c r="K27" s="225">
        <v>1000000</v>
      </c>
      <c r="M27" s="225"/>
      <c r="N27" s="226">
        <v>500000</v>
      </c>
      <c r="O27" s="229"/>
      <c r="P27" s="225"/>
      <c r="Q27" s="229"/>
      <c r="R27" s="229"/>
      <c r="S27" s="229"/>
      <c r="T27" s="229"/>
      <c r="U27" s="225">
        <v>500000</v>
      </c>
      <c r="V27" s="231"/>
      <c r="W27" s="231"/>
      <c r="X27" s="231"/>
      <c r="Y27" s="231"/>
      <c r="Z27" s="273"/>
      <c r="AA27" s="291"/>
      <c r="AB27" s="2"/>
    </row>
    <row r="28" spans="1:28" s="11" customFormat="1" ht="15.75">
      <c r="A28" s="746"/>
      <c r="B28" s="729" t="s">
        <v>37</v>
      </c>
      <c r="C28" s="714">
        <v>500000</v>
      </c>
      <c r="D28" s="436"/>
      <c r="E28" s="435"/>
      <c r="F28" s="437"/>
      <c r="G28" s="437">
        <v>1</v>
      </c>
      <c r="H28" s="437"/>
      <c r="I28" s="437"/>
      <c r="J28" s="714"/>
      <c r="K28" s="1015"/>
      <c r="L28" s="714">
        <f>C28*G28</f>
        <v>500000</v>
      </c>
      <c r="M28" s="714"/>
      <c r="N28" s="714">
        <v>800000</v>
      </c>
      <c r="O28" s="730"/>
      <c r="P28" s="714"/>
      <c r="Q28" s="730"/>
      <c r="R28" s="730">
        <v>1</v>
      </c>
      <c r="S28" s="730"/>
      <c r="T28" s="730"/>
      <c r="U28" s="714"/>
      <c r="V28" s="714"/>
      <c r="W28" s="714">
        <f>N28*R28</f>
        <v>800000</v>
      </c>
      <c r="X28" s="435"/>
      <c r="Y28" s="435"/>
      <c r="Z28" s="721">
        <f t="shared" si="7"/>
        <v>-300000</v>
      </c>
      <c r="AA28" s="731">
        <f t="shared" si="2"/>
        <v>0</v>
      </c>
      <c r="AB28" s="2"/>
    </row>
    <row r="29" spans="1:28" ht="15.75">
      <c r="A29" s="100">
        <v>11</v>
      </c>
      <c r="B29" s="191" t="s">
        <v>1242</v>
      </c>
      <c r="C29" s="727">
        <f>SUM(J29:M29)</f>
        <v>300000</v>
      </c>
      <c r="D29" s="727"/>
      <c r="E29" s="727"/>
      <c r="F29" s="732"/>
      <c r="G29" s="732"/>
      <c r="H29" s="732">
        <v>1</v>
      </c>
      <c r="I29" s="732"/>
      <c r="J29" s="727"/>
      <c r="K29" s="727"/>
      <c r="L29" s="727"/>
      <c r="M29" s="727">
        <v>300000</v>
      </c>
      <c r="N29" s="727">
        <v>400000</v>
      </c>
      <c r="O29" s="727"/>
      <c r="P29" s="727"/>
      <c r="Q29" s="732"/>
      <c r="R29" s="732"/>
      <c r="S29" s="732">
        <v>1</v>
      </c>
      <c r="T29" s="732"/>
      <c r="U29" s="727"/>
      <c r="V29" s="727"/>
      <c r="W29" s="727"/>
      <c r="X29" s="727">
        <f>N29*S29</f>
        <v>400000</v>
      </c>
      <c r="Y29" s="727">
        <f>N29*T29</f>
        <v>0</v>
      </c>
      <c r="Z29" s="37">
        <f t="shared" si="7"/>
        <v>0</v>
      </c>
      <c r="AA29" s="431"/>
      <c r="AB29" s="2"/>
    </row>
    <row r="30" spans="1:28" ht="15.75">
      <c r="B30" s="353"/>
      <c r="C30" s="354"/>
      <c r="D30" s="354"/>
      <c r="E30" s="354"/>
      <c r="F30" s="355"/>
      <c r="G30" s="355"/>
      <c r="H30" s="355"/>
      <c r="I30" s="355"/>
      <c r="J30" s="354"/>
      <c r="K30" s="354"/>
      <c r="L30" s="354"/>
      <c r="M30" s="354"/>
      <c r="N30" s="354"/>
      <c r="O30" s="354"/>
      <c r="P30" s="354"/>
      <c r="Q30" s="355"/>
      <c r="R30" s="355"/>
      <c r="S30" s="355"/>
      <c r="T30" s="355"/>
      <c r="U30" s="354"/>
      <c r="V30" s="354"/>
      <c r="W30" s="354"/>
      <c r="X30" s="354"/>
      <c r="Y30" s="354"/>
      <c r="Z30" s="33"/>
      <c r="AA30" s="57"/>
    </row>
    <row r="31" spans="1:28" ht="15.75">
      <c r="L31" s="223"/>
      <c r="M31" s="223"/>
      <c r="N31" s="223"/>
      <c r="O31" s="223"/>
      <c r="P31" s="223"/>
      <c r="Q31" s="223"/>
      <c r="R31" s="223"/>
      <c r="S31" s="223"/>
      <c r="T31" s="223"/>
      <c r="U31" s="223"/>
      <c r="V31" s="1040" t="s">
        <v>1239</v>
      </c>
      <c r="W31" s="1040"/>
      <c r="X31" s="1040"/>
      <c r="Y31" s="1040"/>
      <c r="Z31" s="1040"/>
      <c r="AA31" s="1040"/>
    </row>
    <row r="32" spans="1:28" ht="16.5" customHeight="1">
      <c r="L32" s="15"/>
      <c r="M32" s="15"/>
      <c r="N32" s="15"/>
      <c r="O32" s="15"/>
      <c r="P32" s="15"/>
      <c r="Q32" s="15"/>
      <c r="R32" s="15"/>
      <c r="S32" s="15"/>
      <c r="T32" s="15"/>
      <c r="U32" s="15"/>
      <c r="V32" s="1017" t="s">
        <v>637</v>
      </c>
      <c r="W32" s="1017"/>
      <c r="X32" s="1017"/>
      <c r="Y32" s="1017"/>
      <c r="Z32" s="1017"/>
      <c r="AA32" s="1017"/>
    </row>
    <row r="33" spans="2:27" ht="21.75" customHeight="1">
      <c r="L33" s="15"/>
      <c r="M33" s="15"/>
      <c r="N33" s="15"/>
      <c r="O33" s="15"/>
      <c r="P33" s="15"/>
      <c r="Q33" s="15"/>
      <c r="R33" s="15"/>
      <c r="S33" s="15"/>
      <c r="T33" s="15"/>
      <c r="U33" s="15"/>
      <c r="V33" s="1017" t="s">
        <v>638</v>
      </c>
      <c r="W33" s="1017"/>
      <c r="X33" s="1017"/>
      <c r="Y33" s="1017"/>
      <c r="Z33" s="1017"/>
      <c r="AA33" s="1017"/>
    </row>
    <row r="34" spans="2:27" ht="21.75">
      <c r="P34" s="10"/>
      <c r="Q34" s="10"/>
      <c r="R34" s="10"/>
      <c r="S34" s="10"/>
      <c r="T34" s="10"/>
      <c r="U34" s="10"/>
      <c r="V34" s="299"/>
      <c r="W34" s="299"/>
      <c r="X34" s="299"/>
      <c r="Y34" s="299"/>
      <c r="Z34" s="298"/>
      <c r="AA34" s="298"/>
    </row>
    <row r="35" spans="2:27" ht="21.75">
      <c r="P35" s="10"/>
      <c r="Q35" s="10"/>
      <c r="R35" s="10"/>
      <c r="S35" s="10"/>
      <c r="T35" s="10"/>
      <c r="U35" s="10"/>
      <c r="V35" s="299"/>
      <c r="W35" s="299"/>
      <c r="X35" s="299"/>
      <c r="Y35" s="299"/>
      <c r="Z35" s="298"/>
      <c r="AA35" s="298"/>
    </row>
    <row r="36" spans="2:27" ht="21.75">
      <c r="V36" s="298"/>
      <c r="W36" s="298"/>
      <c r="X36" s="298"/>
      <c r="Y36" s="298"/>
      <c r="Z36" s="298"/>
      <c r="AA36" s="298"/>
    </row>
    <row r="37" spans="2:27" ht="21.75">
      <c r="V37" s="298"/>
      <c r="W37" s="1017" t="s">
        <v>807</v>
      </c>
      <c r="X37" s="1017"/>
      <c r="Y37" s="1017"/>
      <c r="Z37" s="1017"/>
      <c r="AA37" s="298"/>
    </row>
    <row r="39" spans="2:27" ht="15.75">
      <c r="L39" s="4"/>
      <c r="M39" s="4"/>
      <c r="N39" s="4"/>
      <c r="O39" s="4"/>
      <c r="P39" s="4"/>
      <c r="Q39" s="4"/>
      <c r="R39" s="4"/>
      <c r="S39" s="4"/>
      <c r="T39" s="4"/>
      <c r="U39" s="4"/>
      <c r="V39" s="4"/>
      <c r="W39" s="4"/>
      <c r="X39" s="4"/>
      <c r="Y39" s="4"/>
    </row>
    <row r="40" spans="2:27" ht="15.75" customHeight="1">
      <c r="O40" s="1039"/>
      <c r="P40" s="1039"/>
      <c r="Q40" s="1039"/>
      <c r="R40" s="265"/>
      <c r="S40" s="265"/>
      <c r="T40" s="265"/>
      <c r="U40" s="265"/>
      <c r="V40" s="265"/>
      <c r="W40" s="265"/>
      <c r="X40" s="265"/>
      <c r="Y40" s="265"/>
    </row>
    <row r="41" spans="2:27">
      <c r="L41" s="7"/>
    </row>
    <row r="44" spans="2:27" ht="15.75">
      <c r="B44" s="14"/>
      <c r="C44" s="14"/>
      <c r="D44" s="14"/>
      <c r="E44" s="14"/>
      <c r="F44" s="14"/>
      <c r="G44" s="14"/>
      <c r="H44" s="14"/>
      <c r="I44" s="14"/>
      <c r="J44" s="14"/>
      <c r="K44" s="14"/>
      <c r="L44" s="14"/>
      <c r="M44" s="14"/>
    </row>
    <row r="45" spans="2:27">
      <c r="B45" s="3"/>
      <c r="C45" s="3"/>
      <c r="D45" s="3"/>
      <c r="E45" s="3"/>
      <c r="F45" s="3"/>
      <c r="G45" s="3"/>
      <c r="H45" s="3"/>
      <c r="I45" s="3"/>
      <c r="J45" s="3"/>
      <c r="K45" s="3"/>
      <c r="L45" s="3"/>
      <c r="M45" s="3"/>
    </row>
    <row r="46" spans="2:27">
      <c r="B46" s="3"/>
      <c r="C46" s="3"/>
      <c r="D46" s="3"/>
      <c r="E46" s="3"/>
      <c r="F46" s="3"/>
      <c r="G46" s="3"/>
      <c r="H46" s="3"/>
      <c r="I46" s="3"/>
      <c r="J46" s="3"/>
      <c r="K46" s="3"/>
      <c r="L46" s="3"/>
      <c r="M46" s="3"/>
    </row>
    <row r="47" spans="2:27">
      <c r="B47" s="3"/>
      <c r="C47" s="3"/>
      <c r="D47" s="3"/>
      <c r="E47" s="3"/>
      <c r="F47" s="3"/>
      <c r="G47" s="3"/>
      <c r="H47" s="3"/>
      <c r="I47" s="3"/>
      <c r="J47" s="3"/>
      <c r="K47" s="3"/>
      <c r="L47" s="3"/>
      <c r="M47" s="3"/>
    </row>
    <row r="48" spans="2:27">
      <c r="B48" s="3"/>
      <c r="C48" s="3"/>
      <c r="D48" s="3"/>
      <c r="E48" s="3"/>
      <c r="F48" s="3"/>
      <c r="G48" s="3"/>
      <c r="H48" s="3"/>
      <c r="I48" s="3"/>
      <c r="J48" s="3"/>
      <c r="K48" s="3"/>
      <c r="L48" s="3"/>
      <c r="M48" s="3"/>
    </row>
    <row r="49" spans="2:13">
      <c r="B49" s="3"/>
      <c r="C49" s="3"/>
      <c r="D49" s="3"/>
      <c r="E49" s="3"/>
      <c r="F49" s="3"/>
      <c r="G49" s="3"/>
      <c r="H49" s="3"/>
      <c r="I49" s="3"/>
      <c r="J49" s="3"/>
      <c r="K49" s="3"/>
      <c r="L49" s="3"/>
      <c r="M49" s="3"/>
    </row>
    <row r="50" spans="2:13" ht="15.75">
      <c r="B50" s="4"/>
      <c r="C50" s="4"/>
      <c r="D50" s="4"/>
      <c r="E50" s="4"/>
      <c r="F50" s="4"/>
      <c r="G50" s="4"/>
      <c r="H50" s="4"/>
      <c r="I50" s="4"/>
      <c r="J50" s="4"/>
      <c r="K50" s="4"/>
      <c r="L50" s="4"/>
      <c r="M50" s="4"/>
    </row>
  </sheetData>
  <mergeCells count="22">
    <mergeCell ref="A6:A7"/>
    <mergeCell ref="O40:Q40"/>
    <mergeCell ref="Y6:AA6"/>
    <mergeCell ref="V31:AA31"/>
    <mergeCell ref="V32:AA32"/>
    <mergeCell ref="V33:AA33"/>
    <mergeCell ref="P6:S6"/>
    <mergeCell ref="T6:X6"/>
    <mergeCell ref="W37:Z37"/>
    <mergeCell ref="L1:M1"/>
    <mergeCell ref="B4:AA4"/>
    <mergeCell ref="B6:B7"/>
    <mergeCell ref="C6:C7"/>
    <mergeCell ref="D6:D7"/>
    <mergeCell ref="E6:E7"/>
    <mergeCell ref="F6:F7"/>
    <mergeCell ref="G6:G7"/>
    <mergeCell ref="H6:H7"/>
    <mergeCell ref="I6:I7"/>
    <mergeCell ref="J6:M6"/>
    <mergeCell ref="N6:N7"/>
    <mergeCell ref="K5:AA5"/>
  </mergeCells>
  <phoneticPr fontId="96" type="noConversion"/>
  <pageMargins left="0.45" right="0.2" top="0.75" bottom="0.25" header="0.5" footer="0.5"/>
  <pageSetup paperSize="9" orientation="portrait" verticalDpi="0" r:id="rId1"/>
  <headerFooter alignWithMargins="0"/>
  <drawing r:id="rId2"/>
</worksheet>
</file>

<file path=xl/worksheets/sheet4.xml><?xml version="1.0" encoding="utf-8"?>
<worksheet xmlns="http://schemas.openxmlformats.org/spreadsheetml/2006/main" xmlns:r="http://schemas.openxmlformats.org/officeDocument/2006/relationships">
  <sheetPr>
    <tabColor rgb="FF00B0F0"/>
  </sheetPr>
  <dimension ref="A1:AA83"/>
  <sheetViews>
    <sheetView topLeftCell="A49" workbookViewId="0">
      <selection activeCell="B64" sqref="B64"/>
    </sheetView>
  </sheetViews>
  <sheetFormatPr defaultRowHeight="15"/>
  <cols>
    <col min="1" max="1" width="30.75" style="1" customWidth="1"/>
    <col min="2" max="2" width="11.375" style="1" customWidth="1"/>
    <col min="3" max="3" width="7.625" style="1" hidden="1" customWidth="1"/>
    <col min="4" max="4" width="5.125" style="1" hidden="1" customWidth="1"/>
    <col min="5" max="5" width="5" style="1" hidden="1" customWidth="1"/>
    <col min="6" max="6" width="4.5" style="1" hidden="1" customWidth="1"/>
    <col min="7" max="7" width="5.25" style="1" hidden="1" customWidth="1"/>
    <col min="8" max="8" width="8.5" style="1" hidden="1" customWidth="1"/>
    <col min="9" max="9" width="10.125" style="1" customWidth="1"/>
    <col min="10" max="10" width="10.875" style="1" customWidth="1"/>
    <col min="11" max="11" width="11.125" style="1" customWidth="1"/>
    <col min="12" max="12" width="10.375" style="1" customWidth="1"/>
    <col min="13" max="13" width="10.75" style="1" customWidth="1"/>
    <col min="14" max="14" width="7.875" style="1" hidden="1" customWidth="1"/>
    <col min="15" max="15" width="9.125" style="1" hidden="1" customWidth="1"/>
    <col min="16" max="17" width="9.375" style="1" hidden="1" customWidth="1"/>
    <col min="18" max="18" width="8.625" style="1" hidden="1" customWidth="1"/>
    <col min="19" max="19" width="10.375" style="1" hidden="1" customWidth="1"/>
    <col min="20" max="20" width="9.25" style="1" customWidth="1"/>
    <col min="21" max="21" width="10.125" style="1" customWidth="1"/>
    <col min="22" max="22" width="10" style="1" customWidth="1"/>
    <col min="23" max="23" width="9.125" style="1" customWidth="1"/>
    <col min="24" max="24" width="7.625" style="1" hidden="1" customWidth="1"/>
    <col min="25" max="25" width="10.25" style="1" customWidth="1"/>
    <col min="26" max="26" width="9.25" style="1" customWidth="1"/>
    <col min="27" max="27" width="10.875" style="1" bestFit="1" customWidth="1"/>
    <col min="28" max="28" width="11.625" style="1" customWidth="1"/>
    <col min="29" max="16384" width="9" style="1"/>
  </cols>
  <sheetData>
    <row r="1" spans="1:27">
      <c r="J1" s="330"/>
    </row>
    <row r="2" spans="1:27" ht="17.25">
      <c r="A2" s="277" t="s">
        <v>659</v>
      </c>
      <c r="B2" s="655"/>
      <c r="C2" s="277"/>
      <c r="D2" s="277"/>
      <c r="E2" s="277"/>
      <c r="F2" s="277"/>
      <c r="G2" s="277"/>
      <c r="H2" s="277"/>
      <c r="I2" s="277"/>
      <c r="J2" s="277"/>
      <c r="K2" s="277"/>
      <c r="L2" s="277"/>
      <c r="M2" s="277"/>
      <c r="O2" s="12"/>
      <c r="P2" s="12"/>
      <c r="Q2" s="12"/>
      <c r="R2" s="12"/>
      <c r="S2" s="12"/>
      <c r="T2" s="12"/>
      <c r="U2" s="12"/>
      <c r="V2" s="12"/>
      <c r="W2" s="12"/>
      <c r="X2" s="12"/>
    </row>
    <row r="3" spans="1:27" ht="17.25">
      <c r="A3" s="397" t="s">
        <v>660</v>
      </c>
      <c r="B3" s="706"/>
      <c r="C3" s="397"/>
      <c r="D3" s="397"/>
      <c r="E3" s="397"/>
      <c r="F3" s="397"/>
      <c r="G3" s="397"/>
      <c r="H3" s="397"/>
      <c r="I3" s="397"/>
      <c r="J3" s="397"/>
      <c r="K3" s="705"/>
      <c r="L3" s="432"/>
      <c r="M3" s="2"/>
    </row>
    <row r="4" spans="1:27" ht="17.25">
      <c r="A4" s="397"/>
      <c r="B4" s="687"/>
      <c r="C4" s="397"/>
      <c r="D4" s="397"/>
      <c r="E4" s="397"/>
      <c r="F4" s="397"/>
      <c r="G4" s="397"/>
      <c r="H4" s="397"/>
      <c r="I4" s="397"/>
      <c r="J4" s="397"/>
      <c r="K4" s="397"/>
      <c r="L4" s="397"/>
    </row>
    <row r="5" spans="1:27" ht="15.75">
      <c r="A5" s="1029" t="s">
        <v>822</v>
      </c>
      <c r="B5" s="1029"/>
      <c r="C5" s="1029"/>
      <c r="D5" s="1029"/>
      <c r="E5" s="1029"/>
      <c r="F5" s="1029"/>
      <c r="G5" s="1029"/>
      <c r="H5" s="1029"/>
      <c r="I5" s="1029"/>
      <c r="J5" s="1029"/>
      <c r="K5" s="1029"/>
      <c r="L5" s="1029"/>
      <c r="M5" s="1029"/>
      <c r="N5" s="1029"/>
      <c r="O5" s="1029"/>
      <c r="P5" s="1029"/>
      <c r="Q5" s="1029"/>
      <c r="R5" s="1029"/>
      <c r="S5" s="1029"/>
      <c r="T5" s="1029"/>
      <c r="U5" s="1029"/>
      <c r="V5" s="1029"/>
      <c r="W5" s="1029"/>
      <c r="X5" s="1029"/>
      <c r="Y5" s="1029"/>
      <c r="Z5" s="1029"/>
    </row>
    <row r="6" spans="1:27" ht="15.75">
      <c r="L6" s="1036" t="s">
        <v>808</v>
      </c>
      <c r="M6" s="1036"/>
      <c r="N6" s="1036"/>
      <c r="O6" s="1036"/>
      <c r="P6" s="1036"/>
      <c r="Q6" s="1036"/>
      <c r="R6" s="1036"/>
      <c r="S6" s="1036"/>
      <c r="T6" s="1036"/>
      <c r="U6" s="1036"/>
      <c r="V6" s="1036"/>
      <c r="W6" s="1036"/>
      <c r="X6" s="1036"/>
      <c r="Y6" s="1036"/>
      <c r="Z6" s="1036"/>
    </row>
    <row r="7" spans="1:27" s="120" customFormat="1" ht="15.75">
      <c r="A7" s="1030" t="s">
        <v>77</v>
      </c>
      <c r="B7" s="1030" t="s">
        <v>83</v>
      </c>
      <c r="C7" s="1031" t="s">
        <v>267</v>
      </c>
      <c r="D7" s="1020" t="s">
        <v>640</v>
      </c>
      <c r="E7" s="1031" t="s">
        <v>30</v>
      </c>
      <c r="F7" s="1031" t="s">
        <v>72</v>
      </c>
      <c r="G7" s="1031" t="s">
        <v>31</v>
      </c>
      <c r="H7" s="1031" t="s">
        <v>347</v>
      </c>
      <c r="I7" s="1033" t="s">
        <v>823</v>
      </c>
      <c r="J7" s="1034"/>
      <c r="K7" s="1034"/>
      <c r="L7" s="1035"/>
      <c r="M7" s="1044" t="s">
        <v>83</v>
      </c>
      <c r="N7" s="656"/>
      <c r="O7" s="1045" t="s">
        <v>297</v>
      </c>
      <c r="P7" s="1046"/>
      <c r="Q7" s="1046"/>
      <c r="R7" s="1047"/>
      <c r="S7" s="1048" t="s">
        <v>714</v>
      </c>
      <c r="T7" s="1049"/>
      <c r="U7" s="1049"/>
      <c r="V7" s="1049"/>
      <c r="W7" s="1050"/>
      <c r="X7" s="1048" t="s">
        <v>58</v>
      </c>
      <c r="Y7" s="1049"/>
      <c r="Z7" s="1050"/>
    </row>
    <row r="8" spans="1:27" s="120" customFormat="1" ht="47.25">
      <c r="A8" s="1030"/>
      <c r="B8" s="1030"/>
      <c r="C8" s="1032"/>
      <c r="D8" s="1021"/>
      <c r="E8" s="1032"/>
      <c r="F8" s="1032"/>
      <c r="G8" s="1032"/>
      <c r="H8" s="1032"/>
      <c r="I8" s="396" t="s">
        <v>348</v>
      </c>
      <c r="J8" s="396" t="s">
        <v>30</v>
      </c>
      <c r="K8" s="396" t="s">
        <v>389</v>
      </c>
      <c r="L8" s="396" t="s">
        <v>31</v>
      </c>
      <c r="M8" s="1044"/>
      <c r="N8" s="657" t="s">
        <v>346</v>
      </c>
      <c r="O8" s="657" t="s">
        <v>30</v>
      </c>
      <c r="P8" s="657" t="s">
        <v>72</v>
      </c>
      <c r="Q8" s="657"/>
      <c r="R8" s="657" t="s">
        <v>31</v>
      </c>
      <c r="S8" s="657" t="s">
        <v>347</v>
      </c>
      <c r="T8" s="657" t="s">
        <v>348</v>
      </c>
      <c r="U8" s="657" t="s">
        <v>30</v>
      </c>
      <c r="V8" s="657" t="s">
        <v>72</v>
      </c>
      <c r="W8" s="657" t="s">
        <v>31</v>
      </c>
      <c r="X8" s="658" t="s">
        <v>92</v>
      </c>
      <c r="Y8" s="658" t="s">
        <v>57</v>
      </c>
      <c r="Z8" s="658" t="s">
        <v>91</v>
      </c>
    </row>
    <row r="9" spans="1:27" s="2" customFormat="1" ht="31.5" customHeight="1">
      <c r="A9" s="187" t="s">
        <v>0</v>
      </c>
      <c r="B9" s="224">
        <f>B10+B13+B31+B34+B35+B37+B48+B55+B58+B62+B36</f>
        <v>87000000</v>
      </c>
      <c r="C9" s="224"/>
      <c r="D9" s="224"/>
      <c r="E9" s="224"/>
      <c r="F9" s="224"/>
      <c r="G9" s="224"/>
      <c r="H9" s="224">
        <f t="shared" ref="H9:L9" si="0">H10+H13+H31+H34+H35+H37+H48+H55+H58+H62+H36</f>
        <v>0</v>
      </c>
      <c r="I9" s="224">
        <f t="shared" si="0"/>
        <v>1550000</v>
      </c>
      <c r="J9" s="224">
        <f>J10+J13+J31+J34+J35+J37+J48+J55+J58+J62+J36</f>
        <v>20960000</v>
      </c>
      <c r="K9" s="224">
        <f>K10+K13+K31+K34+K35+K37+K48+K55+K58+K62+K36</f>
        <v>60324000</v>
      </c>
      <c r="L9" s="224">
        <f t="shared" si="0"/>
        <v>4166000</v>
      </c>
      <c r="M9" s="659">
        <f>M10+M13+M31+M34+M35+M37+M48+M55+M58+M62+M36</f>
        <v>102000000</v>
      </c>
      <c r="N9" s="659"/>
      <c r="O9" s="659"/>
      <c r="P9" s="659"/>
      <c r="Q9" s="659"/>
      <c r="R9" s="659"/>
      <c r="S9" s="659">
        <f t="shared" ref="S9:X9" si="1">S10+S13+S31+S34+S35+S37+S48+S55+S58+S62+S36</f>
        <v>0</v>
      </c>
      <c r="T9" s="659">
        <f t="shared" si="1"/>
        <v>2100000</v>
      </c>
      <c r="U9" s="659">
        <f t="shared" si="1"/>
        <v>27275500</v>
      </c>
      <c r="V9" s="659">
        <f t="shared" si="1"/>
        <v>65325500</v>
      </c>
      <c r="W9" s="659">
        <f t="shared" si="1"/>
        <v>7299000</v>
      </c>
      <c r="X9" s="659">
        <f t="shared" si="1"/>
        <v>160000</v>
      </c>
      <c r="Y9" s="659">
        <f>K9-V9</f>
        <v>-5001500</v>
      </c>
      <c r="Z9" s="659">
        <f>L9-W9</f>
        <v>-3133000</v>
      </c>
    </row>
    <row r="10" spans="1:27" s="7" customFormat="1" ht="15.75">
      <c r="A10" s="13" t="s">
        <v>32</v>
      </c>
      <c r="B10" s="274">
        <f>B11+B12</f>
        <v>500000</v>
      </c>
      <c r="C10" s="274"/>
      <c r="D10" s="274"/>
      <c r="E10" s="274"/>
      <c r="F10" s="274"/>
      <c r="G10" s="274"/>
      <c r="H10" s="274"/>
      <c r="I10" s="274"/>
      <c r="J10" s="274">
        <f>J12+J11</f>
        <v>300000</v>
      </c>
      <c r="K10" s="274">
        <f>K12+K11</f>
        <v>200000</v>
      </c>
      <c r="L10" s="274"/>
      <c r="M10" s="660">
        <f>M12+M11</f>
        <v>1000000</v>
      </c>
      <c r="N10" s="660"/>
      <c r="O10" s="660"/>
      <c r="P10" s="660"/>
      <c r="Q10" s="660"/>
      <c r="R10" s="660"/>
      <c r="S10" s="660"/>
      <c r="T10" s="660"/>
      <c r="U10" s="660">
        <f>U12+U11</f>
        <v>600000</v>
      </c>
      <c r="V10" s="660">
        <f>V12+V11</f>
        <v>400000</v>
      </c>
      <c r="W10" s="660"/>
      <c r="X10" s="660"/>
      <c r="Y10" s="661">
        <f>K10-V10</f>
        <v>-200000</v>
      </c>
      <c r="Z10" s="659">
        <f t="shared" ref="Z10:Z60" si="2">L10-W10</f>
        <v>0</v>
      </c>
      <c r="AA10" s="2"/>
    </row>
    <row r="11" spans="1:27" s="7" customFormat="1" ht="15.75">
      <c r="A11" s="300" t="s">
        <v>81</v>
      </c>
      <c r="B11" s="226"/>
      <c r="C11" s="226"/>
      <c r="D11" s="226"/>
      <c r="E11" s="301"/>
      <c r="F11" s="234">
        <v>1</v>
      </c>
      <c r="G11" s="301"/>
      <c r="H11" s="226"/>
      <c r="I11" s="226"/>
      <c r="J11" s="226"/>
      <c r="K11" s="226">
        <f>B11*F11</f>
        <v>0</v>
      </c>
      <c r="L11" s="226"/>
      <c r="M11" s="660"/>
      <c r="N11" s="660"/>
      <c r="O11" s="660"/>
      <c r="P11" s="662"/>
      <c r="Q11" s="663">
        <v>1</v>
      </c>
      <c r="R11" s="662"/>
      <c r="S11" s="660"/>
      <c r="T11" s="660"/>
      <c r="U11" s="660"/>
      <c r="V11" s="660">
        <f>M11*Q11</f>
        <v>0</v>
      </c>
      <c r="W11" s="660"/>
      <c r="X11" s="660"/>
      <c r="Y11" s="661">
        <f>K11-V11</f>
        <v>0</v>
      </c>
      <c r="Z11" s="659">
        <f t="shared" si="2"/>
        <v>0</v>
      </c>
      <c r="AA11" s="2"/>
    </row>
    <row r="12" spans="1:27" s="7" customFormat="1" ht="15.75">
      <c r="A12" s="194" t="s">
        <v>115</v>
      </c>
      <c r="B12" s="274">
        <v>500000</v>
      </c>
      <c r="C12" s="274"/>
      <c r="D12" s="274"/>
      <c r="E12" s="276">
        <v>0.6</v>
      </c>
      <c r="F12" s="276">
        <v>0.4</v>
      </c>
      <c r="G12" s="275"/>
      <c r="H12" s="275"/>
      <c r="I12" s="274"/>
      <c r="J12" s="274">
        <f>B12*E12</f>
        <v>300000</v>
      </c>
      <c r="K12" s="274">
        <f>B12*F12</f>
        <v>200000</v>
      </c>
      <c r="L12" s="274"/>
      <c r="M12" s="660">
        <v>1000000</v>
      </c>
      <c r="N12" s="660"/>
      <c r="O12" s="660"/>
      <c r="P12" s="663">
        <v>0.6</v>
      </c>
      <c r="Q12" s="663">
        <v>0.4</v>
      </c>
      <c r="R12" s="662"/>
      <c r="S12" s="662"/>
      <c r="T12" s="660"/>
      <c r="U12" s="660">
        <f>M12*P12</f>
        <v>600000</v>
      </c>
      <c r="V12" s="660">
        <f>M12*Q12</f>
        <v>400000</v>
      </c>
      <c r="W12" s="660"/>
      <c r="X12" s="660"/>
      <c r="Y12" s="661">
        <f>K12-V12</f>
        <v>-200000</v>
      </c>
      <c r="Z12" s="659">
        <f t="shared" si="2"/>
        <v>0</v>
      </c>
      <c r="AA12" s="2"/>
    </row>
    <row r="13" spans="1:27" s="7" customFormat="1" ht="15.75">
      <c r="A13" s="302" t="s">
        <v>33</v>
      </c>
      <c r="B13" s="226">
        <f>B14+B15+B22+B25+B29+B30</f>
        <v>13000000</v>
      </c>
      <c r="C13" s="226">
        <f t="shared" ref="C13:X13" si="3">C14+C15+C22+C25+C29+C30</f>
        <v>0</v>
      </c>
      <c r="D13" s="226">
        <f t="shared" si="3"/>
        <v>0</v>
      </c>
      <c r="E13" s="226">
        <f t="shared" si="3"/>
        <v>0</v>
      </c>
      <c r="F13" s="226">
        <f t="shared" si="3"/>
        <v>1.5</v>
      </c>
      <c r="G13" s="226">
        <f t="shared" si="3"/>
        <v>0.5</v>
      </c>
      <c r="H13" s="226">
        <f t="shared" si="3"/>
        <v>0</v>
      </c>
      <c r="I13" s="226">
        <f t="shared" si="3"/>
        <v>0</v>
      </c>
      <c r="J13" s="226">
        <f t="shared" si="3"/>
        <v>5260000</v>
      </c>
      <c r="K13" s="226">
        <f>K14+K15+K22+K25+K29+K30</f>
        <v>7180000</v>
      </c>
      <c r="L13" s="226">
        <f t="shared" si="3"/>
        <v>560000</v>
      </c>
      <c r="M13" s="660">
        <f>M14+M15+M22+M25+M29+M30</f>
        <v>32431000</v>
      </c>
      <c r="N13" s="660">
        <f t="shared" si="3"/>
        <v>0</v>
      </c>
      <c r="O13" s="660">
        <f t="shared" si="3"/>
        <v>0</v>
      </c>
      <c r="P13" s="660">
        <f t="shared" si="3"/>
        <v>0</v>
      </c>
      <c r="Q13" s="660">
        <f t="shared" si="3"/>
        <v>1.5</v>
      </c>
      <c r="R13" s="660">
        <f t="shared" si="3"/>
        <v>0.5</v>
      </c>
      <c r="S13" s="660">
        <f t="shared" si="3"/>
        <v>0</v>
      </c>
      <c r="T13" s="660">
        <f t="shared" si="3"/>
        <v>0</v>
      </c>
      <c r="U13" s="660">
        <f t="shared" si="3"/>
        <v>14975500</v>
      </c>
      <c r="V13" s="660">
        <f t="shared" si="3"/>
        <v>16895500</v>
      </c>
      <c r="W13" s="660">
        <f t="shared" si="3"/>
        <v>560000</v>
      </c>
      <c r="X13" s="660">
        <f t="shared" si="3"/>
        <v>160000</v>
      </c>
      <c r="Y13" s="661">
        <f>K13-V13</f>
        <v>-9715500</v>
      </c>
      <c r="Z13" s="661">
        <f t="shared" si="2"/>
        <v>0</v>
      </c>
      <c r="AA13" s="2">
        <f>12839/13000%</f>
        <v>98.761538461538464</v>
      </c>
    </row>
    <row r="14" spans="1:27" ht="15.75">
      <c r="A14" s="194" t="s">
        <v>428</v>
      </c>
      <c r="B14" s="274"/>
      <c r="C14" s="274"/>
      <c r="D14" s="274"/>
      <c r="E14" s="276"/>
      <c r="F14" s="275"/>
      <c r="G14" s="276"/>
      <c r="H14" s="276"/>
      <c r="I14" s="274"/>
      <c r="J14" s="274"/>
      <c r="K14" s="274"/>
      <c r="L14" s="274">
        <f>B14*G14</f>
        <v>0</v>
      </c>
      <c r="M14" s="660"/>
      <c r="N14" s="660"/>
      <c r="O14" s="660"/>
      <c r="P14" s="663"/>
      <c r="Q14" s="662"/>
      <c r="R14" s="663"/>
      <c r="S14" s="663"/>
      <c r="T14" s="660"/>
      <c r="U14" s="660"/>
      <c r="V14" s="660"/>
      <c r="W14" s="660">
        <f>M14*R14</f>
        <v>0</v>
      </c>
      <c r="X14" s="660">
        <f>M14*S14</f>
        <v>0</v>
      </c>
      <c r="Y14" s="661">
        <f t="shared" ref="Y14:Y19" si="4">K14-V14</f>
        <v>0</v>
      </c>
      <c r="Z14" s="661">
        <f t="shared" si="2"/>
        <v>0</v>
      </c>
      <c r="AA14" s="2"/>
    </row>
    <row r="15" spans="1:27" ht="15.75">
      <c r="A15" s="300" t="s">
        <v>34</v>
      </c>
      <c r="B15" s="226">
        <f>B16+B19</f>
        <v>11570000</v>
      </c>
      <c r="C15" s="226"/>
      <c r="D15" s="226"/>
      <c r="E15" s="234"/>
      <c r="F15" s="301"/>
      <c r="G15" s="301"/>
      <c r="H15" s="301"/>
      <c r="I15" s="226"/>
      <c r="J15" s="226">
        <f>J16+J19</f>
        <v>5260000</v>
      </c>
      <c r="K15" s="226">
        <f>K16+K19</f>
        <v>6075000</v>
      </c>
      <c r="L15" s="226">
        <f>L16+L19</f>
        <v>235000</v>
      </c>
      <c r="M15" s="660">
        <f>M16+M19</f>
        <v>31001000</v>
      </c>
      <c r="N15" s="660"/>
      <c r="O15" s="660"/>
      <c r="P15" s="663"/>
      <c r="Q15" s="662"/>
      <c r="R15" s="662"/>
      <c r="S15" s="662"/>
      <c r="T15" s="660"/>
      <c r="U15" s="660">
        <f>U16+U19</f>
        <v>14975500</v>
      </c>
      <c r="V15" s="660">
        <f>V16+V19</f>
        <v>15790500</v>
      </c>
      <c r="W15" s="660">
        <f>W16+W19</f>
        <v>235000</v>
      </c>
      <c r="X15" s="660">
        <f>X16+X19</f>
        <v>160000</v>
      </c>
      <c r="Y15" s="661">
        <f t="shared" si="4"/>
        <v>-9715500</v>
      </c>
      <c r="Z15" s="661">
        <f t="shared" si="2"/>
        <v>0</v>
      </c>
      <c r="AA15" s="2"/>
    </row>
    <row r="16" spans="1:27" s="11" customFormat="1" ht="15.75">
      <c r="A16" s="303" t="s">
        <v>690</v>
      </c>
      <c r="B16" s="236">
        <f>B17+B18</f>
        <v>250000</v>
      </c>
      <c r="C16" s="236"/>
      <c r="D16" s="236"/>
      <c r="E16" s="304"/>
      <c r="F16" s="304"/>
      <c r="G16" s="304"/>
      <c r="H16" s="304"/>
      <c r="I16" s="236"/>
      <c r="J16" s="236"/>
      <c r="K16" s="236">
        <f>K17+K18</f>
        <v>175000</v>
      </c>
      <c r="L16" s="236">
        <f>L17+L18</f>
        <v>75000</v>
      </c>
      <c r="M16" s="664">
        <f>M17+M18</f>
        <v>250000</v>
      </c>
      <c r="N16" s="664"/>
      <c r="O16" s="664"/>
      <c r="P16" s="665"/>
      <c r="Q16" s="665"/>
      <c r="R16" s="665"/>
      <c r="S16" s="665"/>
      <c r="T16" s="664"/>
      <c r="U16" s="664"/>
      <c r="V16" s="664">
        <f>V17+V18</f>
        <v>175000</v>
      </c>
      <c r="W16" s="664">
        <f>W17+W18</f>
        <v>75000</v>
      </c>
      <c r="X16" s="664">
        <f>X17+X18</f>
        <v>0</v>
      </c>
      <c r="Y16" s="661">
        <f t="shared" si="4"/>
        <v>0</v>
      </c>
      <c r="Z16" s="661">
        <f t="shared" si="2"/>
        <v>0</v>
      </c>
      <c r="AA16" s="2"/>
    </row>
    <row r="17" spans="1:27" s="11" customFormat="1" ht="15.75">
      <c r="A17" s="303" t="s">
        <v>643</v>
      </c>
      <c r="B17" s="236">
        <v>200000</v>
      </c>
      <c r="C17" s="236"/>
      <c r="D17" s="236"/>
      <c r="E17" s="304"/>
      <c r="F17" s="304">
        <v>0.8</v>
      </c>
      <c r="G17" s="304">
        <v>0.2</v>
      </c>
      <c r="H17" s="304"/>
      <c r="I17" s="236"/>
      <c r="J17" s="236"/>
      <c r="K17" s="236">
        <f>B17*F17</f>
        <v>160000</v>
      </c>
      <c r="L17" s="236">
        <f>B17*G17</f>
        <v>40000</v>
      </c>
      <c r="M17" s="664">
        <v>200000</v>
      </c>
      <c r="N17" s="664"/>
      <c r="O17" s="664"/>
      <c r="P17" s="665"/>
      <c r="Q17" s="665">
        <v>0.8</v>
      </c>
      <c r="R17" s="665">
        <v>0.2</v>
      </c>
      <c r="S17" s="665"/>
      <c r="T17" s="664"/>
      <c r="U17" s="664"/>
      <c r="V17" s="664">
        <f>M17*Q17</f>
        <v>160000</v>
      </c>
      <c r="W17" s="664">
        <f>M17*R17</f>
        <v>40000</v>
      </c>
      <c r="X17" s="664">
        <f>M17*S17</f>
        <v>0</v>
      </c>
      <c r="Y17" s="661">
        <f t="shared" si="4"/>
        <v>0</v>
      </c>
      <c r="Z17" s="661">
        <f t="shared" si="2"/>
        <v>0</v>
      </c>
      <c r="AA17" s="2"/>
    </row>
    <row r="18" spans="1:27" s="11" customFormat="1" ht="15.75">
      <c r="A18" s="303" t="s">
        <v>691</v>
      </c>
      <c r="B18" s="236">
        <v>50000</v>
      </c>
      <c r="C18" s="236"/>
      <c r="D18" s="236"/>
      <c r="E18" s="304"/>
      <c r="F18" s="304">
        <v>0.3</v>
      </c>
      <c r="G18" s="304">
        <v>0.7</v>
      </c>
      <c r="H18" s="304"/>
      <c r="I18" s="236"/>
      <c r="J18" s="236"/>
      <c r="K18" s="236">
        <f>B18*F18</f>
        <v>15000</v>
      </c>
      <c r="L18" s="236">
        <f>B18*G18</f>
        <v>35000</v>
      </c>
      <c r="M18" s="664">
        <v>50000</v>
      </c>
      <c r="N18" s="664"/>
      <c r="O18" s="664"/>
      <c r="P18" s="665"/>
      <c r="Q18" s="665">
        <v>0.3</v>
      </c>
      <c r="R18" s="665">
        <v>0.7</v>
      </c>
      <c r="S18" s="665"/>
      <c r="T18" s="664"/>
      <c r="U18" s="664"/>
      <c r="V18" s="664">
        <f>M18*Q18</f>
        <v>15000</v>
      </c>
      <c r="W18" s="664">
        <f>M18*R18</f>
        <v>35000</v>
      </c>
      <c r="X18" s="664">
        <f>M18*S18</f>
        <v>0</v>
      </c>
      <c r="Y18" s="661">
        <f t="shared" si="4"/>
        <v>0</v>
      </c>
      <c r="Z18" s="661">
        <f t="shared" si="2"/>
        <v>0</v>
      </c>
      <c r="AA18" s="2"/>
    </row>
    <row r="19" spans="1:27" s="11" customFormat="1" ht="15.75">
      <c r="A19" s="303" t="s">
        <v>641</v>
      </c>
      <c r="B19" s="236">
        <f>B20+B21</f>
        <v>11320000</v>
      </c>
      <c r="C19" s="236"/>
      <c r="D19" s="236"/>
      <c r="E19" s="304"/>
      <c r="F19" s="304"/>
      <c r="G19" s="304"/>
      <c r="H19" s="304"/>
      <c r="I19" s="236"/>
      <c r="J19" s="236">
        <f>J20+J21</f>
        <v>5260000</v>
      </c>
      <c r="K19" s="236">
        <f>K20+K21</f>
        <v>5900000</v>
      </c>
      <c r="L19" s="236">
        <f>L20+L21</f>
        <v>160000</v>
      </c>
      <c r="M19" s="664">
        <f>M20+M21</f>
        <v>30751000</v>
      </c>
      <c r="N19" s="664"/>
      <c r="O19" s="664"/>
      <c r="P19" s="665"/>
      <c r="Q19" s="665"/>
      <c r="R19" s="665"/>
      <c r="S19" s="665"/>
      <c r="T19" s="664"/>
      <c r="U19" s="664">
        <f>U20+U21</f>
        <v>14975500</v>
      </c>
      <c r="V19" s="664">
        <f>V20+V21</f>
        <v>15615500</v>
      </c>
      <c r="W19" s="664">
        <f>W20+W21</f>
        <v>160000</v>
      </c>
      <c r="X19" s="664">
        <f>X20+X21</f>
        <v>160000</v>
      </c>
      <c r="Y19" s="661">
        <f t="shared" si="4"/>
        <v>-9715500</v>
      </c>
      <c r="Z19" s="661">
        <f t="shared" si="2"/>
        <v>0</v>
      </c>
      <c r="AA19" s="2"/>
    </row>
    <row r="20" spans="1:27" s="11" customFormat="1" ht="15.75">
      <c r="A20" s="303" t="s">
        <v>642</v>
      </c>
      <c r="B20" s="236">
        <f>30000000-2480000+1000000+3000000-21000000</f>
        <v>10520000</v>
      </c>
      <c r="C20" s="236"/>
      <c r="D20" s="236"/>
      <c r="E20" s="304">
        <v>0.5</v>
      </c>
      <c r="F20" s="304">
        <v>0.5</v>
      </c>
      <c r="G20" s="304"/>
      <c r="H20" s="304"/>
      <c r="I20" s="236"/>
      <c r="J20" s="236">
        <f>B20*50%</f>
        <v>5260000</v>
      </c>
      <c r="K20" s="236">
        <f>B20*50%</f>
        <v>5260000</v>
      </c>
      <c r="L20" s="236"/>
      <c r="M20" s="664">
        <f>29451000+500000</f>
        <v>29951000</v>
      </c>
      <c r="N20" s="664"/>
      <c r="O20" s="664"/>
      <c r="P20" s="665">
        <v>0.5</v>
      </c>
      <c r="Q20" s="665">
        <v>0.5</v>
      </c>
      <c r="R20" s="665"/>
      <c r="S20" s="665"/>
      <c r="T20" s="664"/>
      <c r="U20" s="664">
        <f>M20*50%</f>
        <v>14975500</v>
      </c>
      <c r="V20" s="664">
        <f>M20*50%</f>
        <v>14975500</v>
      </c>
      <c r="W20" s="664"/>
      <c r="X20" s="664"/>
      <c r="Y20" s="661"/>
      <c r="Z20" s="661">
        <f t="shared" si="2"/>
        <v>0</v>
      </c>
      <c r="AA20" s="2"/>
    </row>
    <row r="21" spans="1:27" s="11" customFormat="1" ht="15.75">
      <c r="A21" s="303" t="s">
        <v>644</v>
      </c>
      <c r="B21" s="236">
        <v>800000</v>
      </c>
      <c r="C21" s="236"/>
      <c r="D21" s="236"/>
      <c r="E21" s="304"/>
      <c r="F21" s="304">
        <v>0.8</v>
      </c>
      <c r="G21" s="304">
        <v>0.2</v>
      </c>
      <c r="H21" s="304"/>
      <c r="I21" s="236"/>
      <c r="J21" s="236"/>
      <c r="K21" s="236">
        <f>B21*80%</f>
        <v>640000</v>
      </c>
      <c r="L21" s="236">
        <f>B21*20%</f>
        <v>160000</v>
      </c>
      <c r="M21" s="664">
        <v>800000</v>
      </c>
      <c r="N21" s="664"/>
      <c r="O21" s="664"/>
      <c r="P21" s="665"/>
      <c r="Q21" s="665">
        <v>0.8</v>
      </c>
      <c r="R21" s="665">
        <v>0.2</v>
      </c>
      <c r="S21" s="665"/>
      <c r="T21" s="664"/>
      <c r="U21" s="664"/>
      <c r="V21" s="664">
        <f>M21*80%</f>
        <v>640000</v>
      </c>
      <c r="W21" s="664">
        <f>M21*20%</f>
        <v>160000</v>
      </c>
      <c r="X21" s="664">
        <f>M21*20%</f>
        <v>160000</v>
      </c>
      <c r="Y21" s="661"/>
      <c r="Z21" s="661">
        <f t="shared" si="2"/>
        <v>0</v>
      </c>
      <c r="AA21" s="2"/>
    </row>
    <row r="22" spans="1:27" ht="15.75">
      <c r="A22" s="302" t="s">
        <v>80</v>
      </c>
      <c r="B22" s="226">
        <f>B23+B24</f>
        <v>1300000</v>
      </c>
      <c r="C22" s="226"/>
      <c r="D22" s="226"/>
      <c r="E22" s="234"/>
      <c r="F22" s="234"/>
      <c r="G22" s="234"/>
      <c r="H22" s="234"/>
      <c r="I22" s="226"/>
      <c r="J22" s="226"/>
      <c r="K22" s="226">
        <f>K23+K24</f>
        <v>1040000</v>
      </c>
      <c r="L22" s="226">
        <f>L23+L24</f>
        <v>260000</v>
      </c>
      <c r="M22" s="660">
        <f>M23+M24</f>
        <v>1300000</v>
      </c>
      <c r="N22" s="660"/>
      <c r="O22" s="660"/>
      <c r="P22" s="663"/>
      <c r="Q22" s="663"/>
      <c r="R22" s="663"/>
      <c r="S22" s="663"/>
      <c r="T22" s="660"/>
      <c r="U22" s="660"/>
      <c r="V22" s="660">
        <f>V23+V24</f>
        <v>1040000</v>
      </c>
      <c r="W22" s="660">
        <f>W23+W24</f>
        <v>260000</v>
      </c>
      <c r="X22" s="660">
        <f>X23+X24</f>
        <v>0</v>
      </c>
      <c r="Y22" s="661">
        <f t="shared" ref="Y22:Y54" si="5">K22-V22</f>
        <v>0</v>
      </c>
      <c r="Z22" s="661">
        <f t="shared" si="2"/>
        <v>0</v>
      </c>
      <c r="AA22" s="2"/>
    </row>
    <row r="23" spans="1:27" s="18" customFormat="1" ht="15.75">
      <c r="A23" s="195" t="s">
        <v>692</v>
      </c>
      <c r="B23" s="305">
        <v>1300000</v>
      </c>
      <c r="C23" s="305"/>
      <c r="D23" s="305"/>
      <c r="E23" s="306"/>
      <c r="F23" s="306">
        <v>0.8</v>
      </c>
      <c r="G23" s="306">
        <v>0.2</v>
      </c>
      <c r="H23" s="306"/>
      <c r="I23" s="305"/>
      <c r="J23" s="305"/>
      <c r="K23" s="305">
        <f>B23*F23</f>
        <v>1040000</v>
      </c>
      <c r="L23" s="305">
        <f>B23*G23</f>
        <v>260000</v>
      </c>
      <c r="M23" s="666">
        <v>1300000</v>
      </c>
      <c r="N23" s="666"/>
      <c r="O23" s="666"/>
      <c r="P23" s="667"/>
      <c r="Q23" s="667">
        <v>0.8</v>
      </c>
      <c r="R23" s="667">
        <v>0.2</v>
      </c>
      <c r="S23" s="667"/>
      <c r="T23" s="666"/>
      <c r="U23" s="666"/>
      <c r="V23" s="666">
        <f>M23*Q23</f>
        <v>1040000</v>
      </c>
      <c r="W23" s="666">
        <f>M23*R23</f>
        <v>260000</v>
      </c>
      <c r="X23" s="666">
        <f>M23*S23</f>
        <v>0</v>
      </c>
      <c r="Y23" s="661">
        <f t="shared" si="5"/>
        <v>0</v>
      </c>
      <c r="Z23" s="661">
        <f t="shared" si="2"/>
        <v>0</v>
      </c>
      <c r="AA23" s="2"/>
    </row>
    <row r="24" spans="1:27" s="18" customFormat="1" ht="15.75">
      <c r="A24" s="307" t="s">
        <v>693</v>
      </c>
      <c r="B24" s="230"/>
      <c r="C24" s="230"/>
      <c r="D24" s="230"/>
      <c r="E24" s="235"/>
      <c r="F24" s="235">
        <v>0.5</v>
      </c>
      <c r="G24" s="235">
        <v>0.5</v>
      </c>
      <c r="H24" s="235"/>
      <c r="I24" s="230"/>
      <c r="J24" s="230"/>
      <c r="K24" s="230"/>
      <c r="L24" s="230"/>
      <c r="M24" s="666"/>
      <c r="N24" s="666"/>
      <c r="O24" s="666"/>
      <c r="P24" s="667"/>
      <c r="Q24" s="667">
        <v>0.5</v>
      </c>
      <c r="R24" s="667">
        <v>0.5</v>
      </c>
      <c r="S24" s="667"/>
      <c r="T24" s="666"/>
      <c r="U24" s="666"/>
      <c r="V24" s="666">
        <f>M24*Q24</f>
        <v>0</v>
      </c>
      <c r="W24" s="666">
        <f>M24*R24</f>
        <v>0</v>
      </c>
      <c r="X24" s="666">
        <f>M24*S24</f>
        <v>0</v>
      </c>
      <c r="Y24" s="661">
        <f t="shared" si="5"/>
        <v>0</v>
      </c>
      <c r="Z24" s="661">
        <f t="shared" si="2"/>
        <v>0</v>
      </c>
      <c r="AA24" s="2"/>
    </row>
    <row r="25" spans="1:27" ht="15.75">
      <c r="A25" s="300" t="s">
        <v>81</v>
      </c>
      <c r="B25" s="226">
        <f>B26+B27+B28</f>
        <v>0</v>
      </c>
      <c r="C25" s="226"/>
      <c r="D25" s="226"/>
      <c r="E25" s="234"/>
      <c r="F25" s="234"/>
      <c r="G25" s="234"/>
      <c r="H25" s="234"/>
      <c r="I25" s="226"/>
      <c r="J25" s="226"/>
      <c r="K25" s="226">
        <f>K26+K27+K28</f>
        <v>0</v>
      </c>
      <c r="L25" s="226">
        <f>L26+L27+L28</f>
        <v>0</v>
      </c>
      <c r="M25" s="660">
        <f>M26+M27+M28</f>
        <v>0</v>
      </c>
      <c r="N25" s="660"/>
      <c r="O25" s="660"/>
      <c r="P25" s="663"/>
      <c r="Q25" s="663"/>
      <c r="R25" s="663"/>
      <c r="S25" s="663"/>
      <c r="T25" s="660"/>
      <c r="U25" s="660"/>
      <c r="V25" s="660">
        <f>V26+V27+V28</f>
        <v>0</v>
      </c>
      <c r="W25" s="660">
        <f>W26+W27+W28</f>
        <v>0</v>
      </c>
      <c r="X25" s="660">
        <f>X26+X27+X28</f>
        <v>0</v>
      </c>
      <c r="Y25" s="661">
        <f t="shared" si="5"/>
        <v>0</v>
      </c>
      <c r="Z25" s="661">
        <f t="shared" si="2"/>
        <v>0</v>
      </c>
      <c r="AA25" s="2"/>
    </row>
    <row r="26" spans="1:27" s="11" customFormat="1" ht="15.75">
      <c r="A26" s="303" t="s">
        <v>42</v>
      </c>
      <c r="B26" s="236"/>
      <c r="C26" s="236"/>
      <c r="D26" s="236"/>
      <c r="E26" s="304"/>
      <c r="F26" s="304"/>
      <c r="G26" s="304">
        <v>1</v>
      </c>
      <c r="H26" s="304"/>
      <c r="I26" s="236"/>
      <c r="J26" s="236"/>
      <c r="K26" s="236"/>
      <c r="L26" s="236">
        <f>B26*G26</f>
        <v>0</v>
      </c>
      <c r="M26" s="664"/>
      <c r="N26" s="664"/>
      <c r="O26" s="664"/>
      <c r="P26" s="665"/>
      <c r="Q26" s="665"/>
      <c r="R26" s="665">
        <v>1</v>
      </c>
      <c r="S26" s="665"/>
      <c r="T26" s="664"/>
      <c r="U26" s="664"/>
      <c r="V26" s="664"/>
      <c r="W26" s="664">
        <f>M26*R26</f>
        <v>0</v>
      </c>
      <c r="X26" s="664">
        <f>M26*S26</f>
        <v>0</v>
      </c>
      <c r="Y26" s="661">
        <f t="shared" si="5"/>
        <v>0</v>
      </c>
      <c r="Z26" s="661">
        <f t="shared" si="2"/>
        <v>0</v>
      </c>
      <c r="AA26" s="2"/>
    </row>
    <row r="27" spans="1:27" s="11" customFormat="1" ht="15.75">
      <c r="A27" s="303" t="s">
        <v>43</v>
      </c>
      <c r="B27" s="236"/>
      <c r="C27" s="236"/>
      <c r="D27" s="236"/>
      <c r="E27" s="304"/>
      <c r="F27" s="304">
        <v>0.6</v>
      </c>
      <c r="G27" s="304">
        <v>0.4</v>
      </c>
      <c r="H27" s="304"/>
      <c r="I27" s="236"/>
      <c r="J27" s="236"/>
      <c r="K27" s="236">
        <f>B27*F27</f>
        <v>0</v>
      </c>
      <c r="L27" s="236">
        <f>B27*G27</f>
        <v>0</v>
      </c>
      <c r="M27" s="664"/>
      <c r="N27" s="664"/>
      <c r="O27" s="664"/>
      <c r="P27" s="665"/>
      <c r="Q27" s="665">
        <v>0.6</v>
      </c>
      <c r="R27" s="665">
        <v>0.4</v>
      </c>
      <c r="S27" s="665"/>
      <c r="T27" s="664"/>
      <c r="U27" s="664"/>
      <c r="V27" s="664">
        <f>M27*Q27</f>
        <v>0</v>
      </c>
      <c r="W27" s="664">
        <f>M27*R27</f>
        <v>0</v>
      </c>
      <c r="X27" s="664">
        <f>M27*S27</f>
        <v>0</v>
      </c>
      <c r="Y27" s="661">
        <f t="shared" si="5"/>
        <v>0</v>
      </c>
      <c r="Z27" s="661">
        <f t="shared" si="2"/>
        <v>0</v>
      </c>
      <c r="AA27" s="2"/>
    </row>
    <row r="28" spans="1:27" s="11" customFormat="1" ht="15.75">
      <c r="A28" s="303" t="s">
        <v>507</v>
      </c>
      <c r="B28" s="236"/>
      <c r="C28" s="236"/>
      <c r="D28" s="236"/>
      <c r="E28" s="304"/>
      <c r="F28" s="304">
        <v>1</v>
      </c>
      <c r="G28" s="304"/>
      <c r="H28" s="304"/>
      <c r="I28" s="236"/>
      <c r="J28" s="236"/>
      <c r="K28" s="236">
        <f>B28*F28</f>
        <v>0</v>
      </c>
      <c r="L28" s="236">
        <f>B28*G28</f>
        <v>0</v>
      </c>
      <c r="M28" s="664"/>
      <c r="N28" s="664"/>
      <c r="O28" s="664"/>
      <c r="P28" s="665"/>
      <c r="Q28" s="665">
        <v>1</v>
      </c>
      <c r="R28" s="665"/>
      <c r="S28" s="665"/>
      <c r="T28" s="664"/>
      <c r="U28" s="664"/>
      <c r="V28" s="664">
        <f>M28*Q28</f>
        <v>0</v>
      </c>
      <c r="W28" s="664">
        <f>M28*R28</f>
        <v>0</v>
      </c>
      <c r="X28" s="664">
        <f>M28*S28</f>
        <v>0</v>
      </c>
      <c r="Y28" s="661">
        <f t="shared" si="5"/>
        <v>0</v>
      </c>
      <c r="Z28" s="661">
        <f t="shared" si="2"/>
        <v>0</v>
      </c>
      <c r="AA28" s="2"/>
    </row>
    <row r="29" spans="1:27" ht="30.75">
      <c r="A29" s="308" t="s">
        <v>598</v>
      </c>
      <c r="B29" s="226">
        <v>130000</v>
      </c>
      <c r="C29" s="226"/>
      <c r="D29" s="226"/>
      <c r="E29" s="234"/>
      <c r="F29" s="234">
        <v>0.5</v>
      </c>
      <c r="G29" s="234">
        <v>0.5</v>
      </c>
      <c r="H29" s="234"/>
      <c r="I29" s="226"/>
      <c r="J29" s="226"/>
      <c r="K29" s="236">
        <f>B29*F29</f>
        <v>65000</v>
      </c>
      <c r="L29" s="236">
        <f>B29*G29</f>
        <v>65000</v>
      </c>
      <c r="M29" s="660">
        <v>130000</v>
      </c>
      <c r="N29" s="660"/>
      <c r="O29" s="660"/>
      <c r="P29" s="663"/>
      <c r="Q29" s="663">
        <v>0.5</v>
      </c>
      <c r="R29" s="663">
        <v>0.5</v>
      </c>
      <c r="S29" s="663"/>
      <c r="T29" s="660"/>
      <c r="U29" s="660"/>
      <c r="V29" s="664">
        <f>M29*Q29</f>
        <v>65000</v>
      </c>
      <c r="W29" s="664">
        <f>M29*R29</f>
        <v>65000</v>
      </c>
      <c r="X29" s="664">
        <f>M29*S29</f>
        <v>0</v>
      </c>
      <c r="Y29" s="661">
        <f t="shared" si="5"/>
        <v>0</v>
      </c>
      <c r="Z29" s="661">
        <f t="shared" si="2"/>
        <v>0</v>
      </c>
      <c r="AA29" s="2"/>
    </row>
    <row r="30" spans="1:27" ht="15.75">
      <c r="A30" s="302" t="s">
        <v>82</v>
      </c>
      <c r="B30" s="226"/>
      <c r="C30" s="226"/>
      <c r="D30" s="226"/>
      <c r="E30" s="234"/>
      <c r="F30" s="234">
        <v>1</v>
      </c>
      <c r="G30" s="234"/>
      <c r="H30" s="234"/>
      <c r="I30" s="226"/>
      <c r="J30" s="226"/>
      <c r="K30" s="236"/>
      <c r="L30" s="236">
        <f>B30*G30</f>
        <v>0</v>
      </c>
      <c r="M30" s="660"/>
      <c r="N30" s="660"/>
      <c r="O30" s="660"/>
      <c r="P30" s="663"/>
      <c r="Q30" s="663">
        <v>1</v>
      </c>
      <c r="R30" s="663"/>
      <c r="S30" s="663"/>
      <c r="T30" s="660"/>
      <c r="U30" s="660"/>
      <c r="V30" s="664">
        <f>M30*Q30</f>
        <v>0</v>
      </c>
      <c r="W30" s="664">
        <f>M30*R30</f>
        <v>0</v>
      </c>
      <c r="X30" s="664">
        <f>M30*S30</f>
        <v>0</v>
      </c>
      <c r="Y30" s="661">
        <f t="shared" si="5"/>
        <v>0</v>
      </c>
      <c r="Z30" s="661">
        <f t="shared" si="2"/>
        <v>0</v>
      </c>
      <c r="AA30" s="2"/>
    </row>
    <row r="31" spans="1:27" ht="15.75">
      <c r="A31" s="302" t="s">
        <v>69</v>
      </c>
      <c r="B31" s="226">
        <f>B32+B33</f>
        <v>16800000</v>
      </c>
      <c r="C31" s="226"/>
      <c r="D31" s="226"/>
      <c r="E31" s="234"/>
      <c r="F31" s="234"/>
      <c r="G31" s="234"/>
      <c r="H31" s="234"/>
      <c r="I31" s="226"/>
      <c r="J31" s="226"/>
      <c r="K31" s="226">
        <f>K32+K33</f>
        <v>15950000</v>
      </c>
      <c r="L31" s="226">
        <f>L32+L33</f>
        <v>850000</v>
      </c>
      <c r="M31" s="660">
        <f>M32+M33</f>
        <v>14500000</v>
      </c>
      <c r="N31" s="660"/>
      <c r="O31" s="660"/>
      <c r="P31" s="663"/>
      <c r="Q31" s="663"/>
      <c r="R31" s="663"/>
      <c r="S31" s="663"/>
      <c r="T31" s="660"/>
      <c r="U31" s="660"/>
      <c r="V31" s="660">
        <f>V32+V33</f>
        <v>13800000</v>
      </c>
      <c r="W31" s="660">
        <f>W32+W33</f>
        <v>700000</v>
      </c>
      <c r="X31" s="660">
        <f>X32+X33</f>
        <v>0</v>
      </c>
      <c r="Y31" s="661">
        <f t="shared" si="5"/>
        <v>2150000</v>
      </c>
      <c r="Z31" s="661">
        <f t="shared" si="2"/>
        <v>150000</v>
      </c>
      <c r="AA31" s="2"/>
    </row>
    <row r="32" spans="1:27" ht="15.75">
      <c r="A32" s="194" t="s">
        <v>87</v>
      </c>
      <c r="B32" s="274">
        <v>850000</v>
      </c>
      <c r="C32" s="274"/>
      <c r="D32" s="274"/>
      <c r="E32" s="276"/>
      <c r="F32" s="276"/>
      <c r="G32" s="276">
        <v>1</v>
      </c>
      <c r="H32" s="276"/>
      <c r="I32" s="274"/>
      <c r="J32" s="274"/>
      <c r="K32" s="274"/>
      <c r="L32" s="274">
        <f>B32*G32</f>
        <v>850000</v>
      </c>
      <c r="M32" s="660">
        <v>700000</v>
      </c>
      <c r="N32" s="660"/>
      <c r="O32" s="660"/>
      <c r="P32" s="663"/>
      <c r="Q32" s="663"/>
      <c r="R32" s="663">
        <v>1</v>
      </c>
      <c r="S32" s="663"/>
      <c r="T32" s="660"/>
      <c r="U32" s="660"/>
      <c r="V32" s="660"/>
      <c r="W32" s="660">
        <f>M32*R32</f>
        <v>700000</v>
      </c>
      <c r="X32" s="660">
        <f>M32*S32</f>
        <v>0</v>
      </c>
      <c r="Y32" s="661">
        <f t="shared" si="5"/>
        <v>0</v>
      </c>
      <c r="Z32" s="661">
        <f t="shared" si="2"/>
        <v>150000</v>
      </c>
      <c r="AA32" s="2"/>
    </row>
    <row r="33" spans="1:27" ht="15.75">
      <c r="A33" s="302" t="s">
        <v>88</v>
      </c>
      <c r="B33" s="226">
        <f>16800000-850000</f>
        <v>15950000</v>
      </c>
      <c r="C33" s="226"/>
      <c r="D33" s="226"/>
      <c r="E33" s="234"/>
      <c r="F33" s="234">
        <v>1</v>
      </c>
      <c r="G33" s="234"/>
      <c r="H33" s="234"/>
      <c r="I33" s="226"/>
      <c r="J33" s="226"/>
      <c r="K33" s="226">
        <f>B33*F33</f>
        <v>15950000</v>
      </c>
      <c r="L33" s="226"/>
      <c r="M33" s="660">
        <v>13800000</v>
      </c>
      <c r="N33" s="660"/>
      <c r="O33" s="660"/>
      <c r="P33" s="663"/>
      <c r="Q33" s="663">
        <v>1</v>
      </c>
      <c r="R33" s="663"/>
      <c r="S33" s="663"/>
      <c r="T33" s="660"/>
      <c r="U33" s="660"/>
      <c r="V33" s="660">
        <f>M33*Q33</f>
        <v>13800000</v>
      </c>
      <c r="W33" s="660"/>
      <c r="X33" s="660"/>
      <c r="Y33" s="661">
        <f t="shared" si="5"/>
        <v>2150000</v>
      </c>
      <c r="Z33" s="661">
        <f t="shared" si="2"/>
        <v>0</v>
      </c>
      <c r="AA33" s="2"/>
    </row>
    <row r="34" spans="1:27" ht="15.75">
      <c r="A34" s="195" t="s">
        <v>784</v>
      </c>
      <c r="B34" s="305">
        <v>950000</v>
      </c>
      <c r="C34" s="305"/>
      <c r="D34" s="305"/>
      <c r="E34" s="306"/>
      <c r="F34" s="306"/>
      <c r="G34" s="306">
        <v>1</v>
      </c>
      <c r="H34" s="306"/>
      <c r="I34" s="305"/>
      <c r="J34" s="305"/>
      <c r="K34" s="305"/>
      <c r="L34" s="274">
        <f>B34*G34</f>
        <v>950000</v>
      </c>
      <c r="M34" s="666">
        <v>870000</v>
      </c>
      <c r="N34" s="666"/>
      <c r="O34" s="666"/>
      <c r="P34" s="667"/>
      <c r="Q34" s="667"/>
      <c r="R34" s="667">
        <v>1</v>
      </c>
      <c r="S34" s="667"/>
      <c r="T34" s="666"/>
      <c r="U34" s="666"/>
      <c r="V34" s="666"/>
      <c r="W34" s="660">
        <f>M34*R34</f>
        <v>870000</v>
      </c>
      <c r="X34" s="660">
        <f>M34*S34</f>
        <v>0</v>
      </c>
      <c r="Y34" s="661">
        <f t="shared" si="5"/>
        <v>0</v>
      </c>
      <c r="Z34" s="661">
        <f t="shared" si="2"/>
        <v>80000</v>
      </c>
      <c r="AA34" s="2"/>
    </row>
    <row r="35" spans="1:27" ht="15.75">
      <c r="A35" s="302" t="s">
        <v>35</v>
      </c>
      <c r="B35" s="226">
        <v>5000000</v>
      </c>
      <c r="C35" s="226"/>
      <c r="D35" s="226"/>
      <c r="E35" s="234">
        <v>0.5</v>
      </c>
      <c r="F35" s="234">
        <v>0.5</v>
      </c>
      <c r="G35" s="234"/>
      <c r="H35" s="234"/>
      <c r="I35" s="226"/>
      <c r="J35" s="226">
        <f>B35*E35</f>
        <v>2500000</v>
      </c>
      <c r="K35" s="226">
        <f>B35*F35</f>
        <v>2500000</v>
      </c>
      <c r="L35" s="226"/>
      <c r="M35" s="660">
        <v>5500000</v>
      </c>
      <c r="N35" s="660"/>
      <c r="O35" s="660"/>
      <c r="P35" s="663">
        <v>0.5</v>
      </c>
      <c r="Q35" s="663">
        <v>0.5</v>
      </c>
      <c r="R35" s="663"/>
      <c r="S35" s="663"/>
      <c r="T35" s="660"/>
      <c r="U35" s="660">
        <f>M35*P35</f>
        <v>2750000</v>
      </c>
      <c r="V35" s="660">
        <f>M35*Q35</f>
        <v>2750000</v>
      </c>
      <c r="W35" s="660"/>
      <c r="X35" s="660"/>
      <c r="Y35" s="661">
        <f t="shared" si="5"/>
        <v>-250000</v>
      </c>
      <c r="Z35" s="661">
        <f t="shared" si="2"/>
        <v>0</v>
      </c>
      <c r="AA35" s="2"/>
    </row>
    <row r="36" spans="1:27" ht="15.75">
      <c r="A36" s="196" t="s">
        <v>639</v>
      </c>
      <c r="B36" s="309">
        <v>500000</v>
      </c>
      <c r="C36" s="309"/>
      <c r="D36" s="309"/>
      <c r="E36" s="310">
        <v>0.5</v>
      </c>
      <c r="F36" s="310">
        <v>0.5</v>
      </c>
      <c r="G36" s="310"/>
      <c r="H36" s="310"/>
      <c r="I36" s="309"/>
      <c r="J36" s="274">
        <f>B36*E36</f>
        <v>250000</v>
      </c>
      <c r="K36" s="274">
        <f>B36*F36</f>
        <v>250000</v>
      </c>
      <c r="L36" s="233"/>
      <c r="M36" s="668">
        <v>1100000</v>
      </c>
      <c r="N36" s="668"/>
      <c r="O36" s="668"/>
      <c r="P36" s="669">
        <v>0.5</v>
      </c>
      <c r="Q36" s="669">
        <v>0.5</v>
      </c>
      <c r="R36" s="669"/>
      <c r="S36" s="669"/>
      <c r="T36" s="668"/>
      <c r="U36" s="660">
        <f>M36*P36</f>
        <v>550000</v>
      </c>
      <c r="V36" s="660">
        <f>M36*Q36</f>
        <v>550000</v>
      </c>
      <c r="W36" s="668"/>
      <c r="X36" s="668"/>
      <c r="Y36" s="661">
        <f t="shared" si="5"/>
        <v>-300000</v>
      </c>
      <c r="Z36" s="661">
        <f t="shared" si="2"/>
        <v>0</v>
      </c>
      <c r="AA36" s="2"/>
    </row>
    <row r="37" spans="1:27" ht="15.75">
      <c r="A37" s="194" t="s">
        <v>408</v>
      </c>
      <c r="B37" s="274">
        <f>B42+B45+B38</f>
        <v>3000000</v>
      </c>
      <c r="C37" s="274"/>
      <c r="D37" s="274"/>
      <c r="E37" s="276"/>
      <c r="F37" s="276"/>
      <c r="G37" s="276"/>
      <c r="H37" s="276"/>
      <c r="I37" s="274"/>
      <c r="J37" s="274"/>
      <c r="K37" s="274">
        <f>K42+K45+K38</f>
        <v>2594000</v>
      </c>
      <c r="L37" s="274">
        <f>L42+L45+L38</f>
        <v>406000</v>
      </c>
      <c r="M37" s="660">
        <f>M42+M45+M38</f>
        <v>3000000</v>
      </c>
      <c r="N37" s="660"/>
      <c r="O37" s="660"/>
      <c r="P37" s="663"/>
      <c r="Q37" s="663"/>
      <c r="R37" s="663"/>
      <c r="S37" s="663"/>
      <c r="T37" s="660"/>
      <c r="U37" s="660"/>
      <c r="V37" s="660">
        <f>V42+V45+V38</f>
        <v>2430000</v>
      </c>
      <c r="W37" s="660">
        <f>W42+W45+W38</f>
        <v>570000</v>
      </c>
      <c r="X37" s="660">
        <f>X42+X45+X38</f>
        <v>0</v>
      </c>
      <c r="Y37" s="661">
        <f t="shared" si="5"/>
        <v>164000</v>
      </c>
      <c r="Z37" s="661">
        <f t="shared" si="2"/>
        <v>-164000</v>
      </c>
      <c r="AA37" s="2"/>
    </row>
    <row r="38" spans="1:27" ht="15.75">
      <c r="A38" s="302" t="s">
        <v>821</v>
      </c>
      <c r="B38" s="226">
        <f>B39+B40+B41</f>
        <v>950000</v>
      </c>
      <c r="C38" s="226"/>
      <c r="D38" s="226"/>
      <c r="E38" s="234"/>
      <c r="F38" s="234"/>
      <c r="G38" s="234"/>
      <c r="H38" s="234"/>
      <c r="I38" s="226"/>
      <c r="J38" s="226"/>
      <c r="K38" s="226">
        <f>K39+K40+K41</f>
        <v>844000</v>
      </c>
      <c r="L38" s="226">
        <f>L39+L40+L41</f>
        <v>106000</v>
      </c>
      <c r="M38" s="660">
        <f>M39+M40+M41</f>
        <v>1060000</v>
      </c>
      <c r="N38" s="660"/>
      <c r="O38" s="660"/>
      <c r="P38" s="663"/>
      <c r="Q38" s="663"/>
      <c r="R38" s="663"/>
      <c r="S38" s="663"/>
      <c r="T38" s="660"/>
      <c r="U38" s="660"/>
      <c r="V38" s="660">
        <f>V39+V40+V41</f>
        <v>930000</v>
      </c>
      <c r="W38" s="660">
        <f>W39+W40+W41</f>
        <v>130000</v>
      </c>
      <c r="X38" s="660">
        <f>X39+X40+X41</f>
        <v>0</v>
      </c>
      <c r="Y38" s="661">
        <f t="shared" si="5"/>
        <v>-86000</v>
      </c>
      <c r="Z38" s="661">
        <f t="shared" si="2"/>
        <v>-24000</v>
      </c>
      <c r="AA38" s="2"/>
    </row>
    <row r="39" spans="1:27" ht="15.75">
      <c r="A39" s="303" t="s">
        <v>42</v>
      </c>
      <c r="B39" s="236">
        <v>10000</v>
      </c>
      <c r="C39" s="236"/>
      <c r="D39" s="236"/>
      <c r="E39" s="304"/>
      <c r="F39" s="304"/>
      <c r="G39" s="304">
        <v>1</v>
      </c>
      <c r="H39" s="276"/>
      <c r="I39" s="274"/>
      <c r="J39" s="274"/>
      <c r="K39" s="274"/>
      <c r="L39" s="274">
        <f>B39*G39</f>
        <v>10000</v>
      </c>
      <c r="M39" s="664">
        <v>10000</v>
      </c>
      <c r="N39" s="664"/>
      <c r="O39" s="664"/>
      <c r="P39" s="665"/>
      <c r="Q39" s="665"/>
      <c r="R39" s="665">
        <v>1</v>
      </c>
      <c r="S39" s="663"/>
      <c r="T39" s="660"/>
      <c r="U39" s="660"/>
      <c r="V39" s="660"/>
      <c r="W39" s="660">
        <f>M39*R39</f>
        <v>10000</v>
      </c>
      <c r="X39" s="660">
        <f>M39*S39</f>
        <v>0</v>
      </c>
      <c r="Y39" s="661">
        <f t="shared" si="5"/>
        <v>0</v>
      </c>
      <c r="Z39" s="661">
        <f t="shared" si="2"/>
        <v>0</v>
      </c>
      <c r="AA39" s="2"/>
    </row>
    <row r="40" spans="1:27" ht="15.75">
      <c r="A40" s="303" t="s">
        <v>43</v>
      </c>
      <c r="B40" s="236">
        <v>240000</v>
      </c>
      <c r="C40" s="236"/>
      <c r="D40" s="236"/>
      <c r="E40" s="304"/>
      <c r="F40" s="304">
        <v>0.6</v>
      </c>
      <c r="G40" s="304">
        <v>0.4</v>
      </c>
      <c r="H40" s="276"/>
      <c r="I40" s="274"/>
      <c r="J40" s="274"/>
      <c r="K40" s="274">
        <f>B40*F40</f>
        <v>144000</v>
      </c>
      <c r="L40" s="274">
        <f>B40*G40</f>
        <v>96000</v>
      </c>
      <c r="M40" s="664">
        <v>300000</v>
      </c>
      <c r="N40" s="664"/>
      <c r="O40" s="664"/>
      <c r="P40" s="665"/>
      <c r="Q40" s="665">
        <v>0.6</v>
      </c>
      <c r="R40" s="665">
        <v>0.4</v>
      </c>
      <c r="S40" s="663"/>
      <c r="T40" s="660"/>
      <c r="U40" s="660"/>
      <c r="V40" s="660">
        <f>M40*Q40</f>
        <v>180000</v>
      </c>
      <c r="W40" s="660">
        <f>M40*R40</f>
        <v>120000</v>
      </c>
      <c r="X40" s="660">
        <f>M40*S40</f>
        <v>0</v>
      </c>
      <c r="Y40" s="661">
        <f t="shared" si="5"/>
        <v>-36000</v>
      </c>
      <c r="Z40" s="661">
        <f t="shared" si="2"/>
        <v>-24000</v>
      </c>
      <c r="AA40" s="2"/>
    </row>
    <row r="41" spans="1:27" ht="15.75">
      <c r="A41" s="303" t="s">
        <v>507</v>
      </c>
      <c r="B41" s="236">
        <v>700000</v>
      </c>
      <c r="C41" s="236"/>
      <c r="D41" s="236"/>
      <c r="E41" s="304"/>
      <c r="F41" s="304">
        <v>1</v>
      </c>
      <c r="G41" s="304"/>
      <c r="H41" s="276"/>
      <c r="I41" s="274"/>
      <c r="J41" s="274"/>
      <c r="K41" s="274">
        <f>B41*F41</f>
        <v>700000</v>
      </c>
      <c r="L41" s="274"/>
      <c r="M41" s="664">
        <v>750000</v>
      </c>
      <c r="N41" s="664"/>
      <c r="O41" s="664"/>
      <c r="P41" s="665"/>
      <c r="Q41" s="665">
        <v>1</v>
      </c>
      <c r="R41" s="665"/>
      <c r="S41" s="663"/>
      <c r="T41" s="660"/>
      <c r="U41" s="660"/>
      <c r="V41" s="660">
        <f>M41*Q41</f>
        <v>750000</v>
      </c>
      <c r="W41" s="660"/>
      <c r="X41" s="660"/>
      <c r="Y41" s="661">
        <f t="shared" si="5"/>
        <v>-50000</v>
      </c>
      <c r="Z41" s="661">
        <f t="shared" si="2"/>
        <v>0</v>
      </c>
      <c r="AA41" s="2">
        <f>1761/3000%</f>
        <v>58.7</v>
      </c>
    </row>
    <row r="42" spans="1:27" ht="15.75">
      <c r="A42" s="302" t="s">
        <v>36</v>
      </c>
      <c r="B42" s="226">
        <v>1750000</v>
      </c>
      <c r="C42" s="226"/>
      <c r="D42" s="226"/>
      <c r="E42" s="234"/>
      <c r="F42" s="304">
        <v>1</v>
      </c>
      <c r="G42" s="276"/>
      <c r="H42" s="276"/>
      <c r="I42" s="274"/>
      <c r="J42" s="274"/>
      <c r="K42" s="274">
        <f>B42*F42</f>
        <v>1750000</v>
      </c>
      <c r="L42" s="274"/>
      <c r="M42" s="660">
        <v>1500000</v>
      </c>
      <c r="N42" s="660"/>
      <c r="O42" s="660"/>
      <c r="P42" s="663"/>
      <c r="Q42" s="665">
        <v>1</v>
      </c>
      <c r="R42" s="663"/>
      <c r="S42" s="663"/>
      <c r="T42" s="660"/>
      <c r="U42" s="660"/>
      <c r="V42" s="660">
        <f>M42*Q42</f>
        <v>1500000</v>
      </c>
      <c r="W42" s="660"/>
      <c r="X42" s="660"/>
      <c r="Y42" s="661">
        <f t="shared" si="5"/>
        <v>250000</v>
      </c>
      <c r="Z42" s="661">
        <f t="shared" si="2"/>
        <v>0</v>
      </c>
      <c r="AA42" s="2"/>
    </row>
    <row r="43" spans="1:27" ht="15.75">
      <c r="A43" s="302" t="s">
        <v>508</v>
      </c>
      <c r="B43" s="226"/>
      <c r="C43" s="226"/>
      <c r="D43" s="226"/>
      <c r="E43" s="234"/>
      <c r="F43" s="234"/>
      <c r="G43" s="234"/>
      <c r="H43" s="234"/>
      <c r="I43" s="226"/>
      <c r="J43" s="226"/>
      <c r="K43" s="226">
        <f>B43*F43</f>
        <v>0</v>
      </c>
      <c r="L43" s="226"/>
      <c r="M43" s="660"/>
      <c r="N43" s="660"/>
      <c r="O43" s="660"/>
      <c r="P43" s="663"/>
      <c r="Q43" s="663"/>
      <c r="R43" s="663"/>
      <c r="S43" s="663"/>
      <c r="T43" s="660"/>
      <c r="U43" s="660"/>
      <c r="V43" s="660">
        <f>M43*Q43</f>
        <v>0</v>
      </c>
      <c r="W43" s="660"/>
      <c r="X43" s="660"/>
      <c r="Y43" s="661">
        <f t="shared" si="5"/>
        <v>0</v>
      </c>
      <c r="Z43" s="661">
        <f t="shared" si="2"/>
        <v>0</v>
      </c>
      <c r="AA43" s="2"/>
    </row>
    <row r="44" spans="1:27" ht="15.75">
      <c r="A44" s="194" t="s">
        <v>509</v>
      </c>
      <c r="B44" s="274"/>
      <c r="C44" s="274"/>
      <c r="D44" s="274"/>
      <c r="E44" s="276"/>
      <c r="F44" s="276"/>
      <c r="G44" s="276"/>
      <c r="H44" s="276"/>
      <c r="I44" s="274"/>
      <c r="J44" s="274"/>
      <c r="K44" s="274">
        <f>B44*F44</f>
        <v>0</v>
      </c>
      <c r="L44" s="274"/>
      <c r="M44" s="660"/>
      <c r="N44" s="660"/>
      <c r="O44" s="660"/>
      <c r="P44" s="663"/>
      <c r="Q44" s="663"/>
      <c r="R44" s="663"/>
      <c r="S44" s="663"/>
      <c r="T44" s="660"/>
      <c r="U44" s="660"/>
      <c r="V44" s="660">
        <f>M44*Q44</f>
        <v>0</v>
      </c>
      <c r="W44" s="660"/>
      <c r="X44" s="660"/>
      <c r="Y44" s="661">
        <f t="shared" si="5"/>
        <v>0</v>
      </c>
      <c r="Z44" s="661">
        <f t="shared" si="2"/>
        <v>0</v>
      </c>
      <c r="AA44" s="2"/>
    </row>
    <row r="45" spans="1:27" s="5" customFormat="1" ht="15.75">
      <c r="A45" s="302" t="s">
        <v>510</v>
      </c>
      <c r="B45" s="226">
        <v>300000</v>
      </c>
      <c r="C45" s="226"/>
      <c r="D45" s="226"/>
      <c r="E45" s="234"/>
      <c r="F45" s="234"/>
      <c r="G45" s="234"/>
      <c r="H45" s="234"/>
      <c r="I45" s="226"/>
      <c r="J45" s="226"/>
      <c r="K45" s="226"/>
      <c r="L45" s="226">
        <f>L47</f>
        <v>300000</v>
      </c>
      <c r="M45" s="660">
        <f>M46+M47</f>
        <v>440000</v>
      </c>
      <c r="N45" s="660"/>
      <c r="O45" s="660"/>
      <c r="P45" s="663"/>
      <c r="Q45" s="663"/>
      <c r="R45" s="663"/>
      <c r="S45" s="663"/>
      <c r="T45" s="660"/>
      <c r="U45" s="660"/>
      <c r="V45" s="660"/>
      <c r="W45" s="660">
        <f>W47</f>
        <v>440000</v>
      </c>
      <c r="X45" s="660">
        <f>X47</f>
        <v>0</v>
      </c>
      <c r="Y45" s="661">
        <f t="shared" si="5"/>
        <v>0</v>
      </c>
      <c r="Z45" s="661">
        <f t="shared" si="2"/>
        <v>-140000</v>
      </c>
      <c r="AA45" s="2"/>
    </row>
    <row r="46" spans="1:27" s="5" customFormat="1" ht="30.75">
      <c r="A46" s="311" t="s">
        <v>341</v>
      </c>
      <c r="B46" s="274"/>
      <c r="C46" s="274"/>
      <c r="D46" s="274"/>
      <c r="E46" s="276"/>
      <c r="F46" s="276"/>
      <c r="G46" s="276"/>
      <c r="H46" s="276"/>
      <c r="I46" s="274"/>
      <c r="J46" s="274"/>
      <c r="K46" s="274"/>
      <c r="L46" s="274"/>
      <c r="M46" s="660"/>
      <c r="N46" s="660"/>
      <c r="O46" s="660"/>
      <c r="P46" s="663"/>
      <c r="Q46" s="663"/>
      <c r="R46" s="663"/>
      <c r="S46" s="663"/>
      <c r="T46" s="660"/>
      <c r="U46" s="660"/>
      <c r="V46" s="660"/>
      <c r="W46" s="660"/>
      <c r="X46" s="660"/>
      <c r="Y46" s="661">
        <f t="shared" si="5"/>
        <v>0</v>
      </c>
      <c r="Z46" s="661">
        <f t="shared" si="2"/>
        <v>0</v>
      </c>
      <c r="AA46" s="2"/>
    </row>
    <row r="47" spans="1:27" s="5" customFormat="1" ht="15.75">
      <c r="A47" s="13" t="s">
        <v>342</v>
      </c>
      <c r="B47" s="225">
        <v>300000</v>
      </c>
      <c r="C47" s="225"/>
      <c r="D47" s="225"/>
      <c r="E47" s="229"/>
      <c r="F47" s="229"/>
      <c r="G47" s="229">
        <v>1</v>
      </c>
      <c r="H47" s="229"/>
      <c r="I47" s="225"/>
      <c r="J47" s="225"/>
      <c r="K47" s="225"/>
      <c r="L47" s="225">
        <f>B47*G47</f>
        <v>300000</v>
      </c>
      <c r="M47" s="660">
        <v>440000</v>
      </c>
      <c r="N47" s="660"/>
      <c r="O47" s="660"/>
      <c r="P47" s="663"/>
      <c r="Q47" s="663"/>
      <c r="R47" s="663">
        <v>1</v>
      </c>
      <c r="S47" s="663"/>
      <c r="T47" s="660"/>
      <c r="U47" s="660"/>
      <c r="V47" s="660"/>
      <c r="W47" s="660">
        <f>M47*R47</f>
        <v>440000</v>
      </c>
      <c r="X47" s="660">
        <f>M47*S47</f>
        <v>0</v>
      </c>
      <c r="Y47" s="661">
        <f t="shared" si="5"/>
        <v>0</v>
      </c>
      <c r="Z47" s="661">
        <f t="shared" si="2"/>
        <v>-140000</v>
      </c>
      <c r="AA47" s="2"/>
    </row>
    <row r="48" spans="1:27" ht="15.75">
      <c r="A48" s="13" t="s">
        <v>409</v>
      </c>
      <c r="B48" s="225">
        <f>B49</f>
        <v>36000000</v>
      </c>
      <c r="C48" s="225"/>
      <c r="D48" s="225"/>
      <c r="E48" s="229"/>
      <c r="F48" s="229"/>
      <c r="G48" s="229"/>
      <c r="H48" s="225"/>
      <c r="I48" s="225"/>
      <c r="J48" s="225">
        <f>J49</f>
        <v>10200000</v>
      </c>
      <c r="K48" s="225">
        <f>K49</f>
        <v>24800000</v>
      </c>
      <c r="L48" s="225">
        <f>L49</f>
        <v>1000000</v>
      </c>
      <c r="M48" s="660">
        <f>M49</f>
        <v>30000000</v>
      </c>
      <c r="N48" s="660"/>
      <c r="O48" s="660"/>
      <c r="P48" s="663"/>
      <c r="Q48" s="663"/>
      <c r="R48" s="663"/>
      <c r="S48" s="660"/>
      <c r="T48" s="660"/>
      <c r="U48" s="660">
        <f>U49</f>
        <v>8400000</v>
      </c>
      <c r="V48" s="660">
        <f>V49</f>
        <v>20000000</v>
      </c>
      <c r="W48" s="660">
        <f>W49</f>
        <v>1600000</v>
      </c>
      <c r="X48" s="660">
        <f>X49</f>
        <v>0</v>
      </c>
      <c r="Y48" s="661">
        <f t="shared" si="5"/>
        <v>4800000</v>
      </c>
      <c r="Z48" s="661">
        <f t="shared" si="2"/>
        <v>-600000</v>
      </c>
      <c r="AA48" s="2"/>
    </row>
    <row r="49" spans="1:27" ht="15.75">
      <c r="A49" s="13" t="s">
        <v>401</v>
      </c>
      <c r="B49" s="225">
        <f>B50+B51</f>
        <v>36000000</v>
      </c>
      <c r="C49" s="225"/>
      <c r="D49" s="225"/>
      <c r="E49" s="229"/>
      <c r="F49" s="229"/>
      <c r="G49" s="229"/>
      <c r="H49" s="225"/>
      <c r="I49" s="225"/>
      <c r="J49" s="225">
        <f>J50+J51</f>
        <v>10200000</v>
      </c>
      <c r="K49" s="225">
        <f>K50+K51</f>
        <v>24800000</v>
      </c>
      <c r="L49" s="225">
        <f>L50+L51</f>
        <v>1000000</v>
      </c>
      <c r="M49" s="660">
        <f>M50+M51</f>
        <v>30000000</v>
      </c>
      <c r="N49" s="660"/>
      <c r="O49" s="660"/>
      <c r="P49" s="663"/>
      <c r="Q49" s="663"/>
      <c r="R49" s="663"/>
      <c r="S49" s="660"/>
      <c r="T49" s="660"/>
      <c r="U49" s="660">
        <f>U50+U51</f>
        <v>8400000</v>
      </c>
      <c r="V49" s="660">
        <f>V50+V51</f>
        <v>20000000</v>
      </c>
      <c r="W49" s="660">
        <f>W50+W51</f>
        <v>1600000</v>
      </c>
      <c r="X49" s="660">
        <f>X50+X51</f>
        <v>0</v>
      </c>
      <c r="Y49" s="661">
        <f t="shared" si="5"/>
        <v>4800000</v>
      </c>
      <c r="Z49" s="661">
        <f t="shared" si="2"/>
        <v>-600000</v>
      </c>
      <c r="AA49" s="2"/>
    </row>
    <row r="50" spans="1:27" ht="15.75">
      <c r="A50" s="8" t="s">
        <v>68</v>
      </c>
      <c r="B50" s="227">
        <v>2000000</v>
      </c>
      <c r="C50" s="228"/>
      <c r="D50" s="228"/>
      <c r="E50" s="228"/>
      <c r="F50" s="228">
        <v>0.2</v>
      </c>
      <c r="G50" s="228">
        <v>0.8</v>
      </c>
      <c r="H50" s="227"/>
      <c r="I50" s="227"/>
      <c r="J50" s="227"/>
      <c r="K50" s="227">
        <v>1000000</v>
      </c>
      <c r="L50" s="227">
        <v>1000000</v>
      </c>
      <c r="M50" s="660">
        <v>2000000</v>
      </c>
      <c r="N50" s="663"/>
      <c r="O50" s="663"/>
      <c r="P50" s="663"/>
      <c r="Q50" s="663">
        <v>0.2</v>
      </c>
      <c r="R50" s="663">
        <v>0.8</v>
      </c>
      <c r="S50" s="660"/>
      <c r="T50" s="660"/>
      <c r="U50" s="660"/>
      <c r="V50" s="660">
        <f>M50*Q50</f>
        <v>400000</v>
      </c>
      <c r="W50" s="660">
        <f>M50*R50</f>
        <v>1600000</v>
      </c>
      <c r="X50" s="660">
        <f>M50*S50</f>
        <v>0</v>
      </c>
      <c r="Y50" s="661">
        <f t="shared" si="5"/>
        <v>600000</v>
      </c>
      <c r="Z50" s="661">
        <f t="shared" si="2"/>
        <v>-600000</v>
      </c>
      <c r="AA50" s="2"/>
    </row>
    <row r="51" spans="1:27" ht="15.75">
      <c r="A51" s="8" t="s">
        <v>89</v>
      </c>
      <c r="B51" s="227">
        <v>34000000</v>
      </c>
      <c r="C51" s="228"/>
      <c r="D51" s="228"/>
      <c r="E51" s="228">
        <v>0.3</v>
      </c>
      <c r="F51" s="228">
        <v>0.7</v>
      </c>
      <c r="G51" s="228"/>
      <c r="H51" s="227"/>
      <c r="I51" s="227"/>
      <c r="J51" s="227">
        <f>B51*E51</f>
        <v>10200000</v>
      </c>
      <c r="K51" s="227">
        <f>B51*F51</f>
        <v>23800000</v>
      </c>
      <c r="L51" s="227"/>
      <c r="M51" s="660">
        <v>28000000</v>
      </c>
      <c r="N51" s="663"/>
      <c r="O51" s="663"/>
      <c r="P51" s="663">
        <v>0.3</v>
      </c>
      <c r="Q51" s="663">
        <v>0.7</v>
      </c>
      <c r="R51" s="663"/>
      <c r="S51" s="660"/>
      <c r="T51" s="660"/>
      <c r="U51" s="660">
        <f>M51*P51</f>
        <v>8400000</v>
      </c>
      <c r="V51" s="660">
        <f>M51*Q51</f>
        <v>19600000</v>
      </c>
      <c r="W51" s="660"/>
      <c r="X51" s="660"/>
      <c r="Y51" s="661">
        <f t="shared" si="5"/>
        <v>4200000</v>
      </c>
      <c r="Z51" s="661">
        <f t="shared" si="2"/>
        <v>0</v>
      </c>
      <c r="AA51" s="2"/>
    </row>
    <row r="52" spans="1:27" ht="15.75">
      <c r="A52" s="8" t="s">
        <v>343</v>
      </c>
      <c r="B52" s="227">
        <f>B53+B54</f>
        <v>0</v>
      </c>
      <c r="C52" s="227"/>
      <c r="D52" s="227"/>
      <c r="E52" s="227"/>
      <c r="F52" s="227"/>
      <c r="G52" s="227"/>
      <c r="H52" s="227"/>
      <c r="I52" s="227"/>
      <c r="J52" s="227"/>
      <c r="K52" s="227"/>
      <c r="L52" s="227"/>
      <c r="M52" s="660">
        <f>M53+M54</f>
        <v>0</v>
      </c>
      <c r="N52" s="660"/>
      <c r="O52" s="660"/>
      <c r="P52" s="660"/>
      <c r="Q52" s="660"/>
      <c r="R52" s="660"/>
      <c r="S52" s="660"/>
      <c r="T52" s="660"/>
      <c r="U52" s="660"/>
      <c r="V52" s="660"/>
      <c r="W52" s="660"/>
      <c r="X52" s="660"/>
      <c r="Y52" s="661">
        <f t="shared" si="5"/>
        <v>0</v>
      </c>
      <c r="Z52" s="661">
        <f t="shared" si="2"/>
        <v>0</v>
      </c>
      <c r="AA52" s="2"/>
    </row>
    <row r="53" spans="1:27" ht="15.75">
      <c r="A53" s="8" t="s">
        <v>344</v>
      </c>
      <c r="B53" s="227"/>
      <c r="C53" s="227"/>
      <c r="D53" s="227"/>
      <c r="E53" s="228"/>
      <c r="F53" s="228"/>
      <c r="G53" s="228"/>
      <c r="H53" s="227"/>
      <c r="I53" s="227"/>
      <c r="J53" s="227"/>
      <c r="K53" s="227"/>
      <c r="L53" s="227"/>
      <c r="M53" s="660"/>
      <c r="N53" s="660"/>
      <c r="O53" s="660"/>
      <c r="P53" s="663"/>
      <c r="Q53" s="663"/>
      <c r="R53" s="663"/>
      <c r="S53" s="660"/>
      <c r="T53" s="660"/>
      <c r="U53" s="660"/>
      <c r="V53" s="660"/>
      <c r="W53" s="660"/>
      <c r="X53" s="660"/>
      <c r="Y53" s="661">
        <f t="shared" si="5"/>
        <v>0</v>
      </c>
      <c r="Z53" s="661">
        <f t="shared" si="2"/>
        <v>0</v>
      </c>
      <c r="AA53" s="2"/>
    </row>
    <row r="54" spans="1:27" ht="15.75">
      <c r="A54" s="8" t="s">
        <v>345</v>
      </c>
      <c r="B54" s="227"/>
      <c r="C54" s="228"/>
      <c r="D54" s="228"/>
      <c r="E54" s="228"/>
      <c r="F54" s="228"/>
      <c r="G54" s="228"/>
      <c r="H54" s="227"/>
      <c r="I54" s="227"/>
      <c r="J54" s="227"/>
      <c r="K54" s="227"/>
      <c r="L54" s="227"/>
      <c r="M54" s="660"/>
      <c r="N54" s="663"/>
      <c r="O54" s="663"/>
      <c r="P54" s="663"/>
      <c r="Q54" s="663"/>
      <c r="R54" s="663"/>
      <c r="S54" s="660"/>
      <c r="T54" s="660"/>
      <c r="U54" s="660"/>
      <c r="V54" s="660"/>
      <c r="W54" s="660"/>
      <c r="X54" s="660"/>
      <c r="Y54" s="661">
        <f t="shared" si="5"/>
        <v>0</v>
      </c>
      <c r="Z54" s="661">
        <f t="shared" si="2"/>
        <v>0</v>
      </c>
      <c r="AA54" s="2"/>
    </row>
    <row r="55" spans="1:27" ht="15.75">
      <c r="A55" s="13" t="s">
        <v>410</v>
      </c>
      <c r="B55" s="225">
        <f>B57</f>
        <v>6050000</v>
      </c>
      <c r="C55" s="225"/>
      <c r="D55" s="225"/>
      <c r="E55" s="229"/>
      <c r="F55" s="229"/>
      <c r="G55" s="229"/>
      <c r="H55" s="225"/>
      <c r="I55" s="225"/>
      <c r="J55" s="225"/>
      <c r="K55" s="225">
        <f>K57</f>
        <v>6050000</v>
      </c>
      <c r="L55" s="225"/>
      <c r="M55" s="660">
        <v>5100000</v>
      </c>
      <c r="N55" s="660"/>
      <c r="O55" s="660"/>
      <c r="P55" s="663"/>
      <c r="Q55" s="663"/>
      <c r="R55" s="663"/>
      <c r="S55" s="660"/>
      <c r="T55" s="660"/>
      <c r="U55" s="660"/>
      <c r="V55" s="660">
        <f>V57</f>
        <v>5100000</v>
      </c>
      <c r="W55" s="660"/>
      <c r="X55" s="660"/>
      <c r="Y55" s="661">
        <f>K55-V55</f>
        <v>950000</v>
      </c>
      <c r="Z55" s="661">
        <f t="shared" si="2"/>
        <v>0</v>
      </c>
      <c r="AA55" s="2"/>
    </row>
    <row r="56" spans="1:27" ht="15.75">
      <c r="A56" s="13" t="s">
        <v>645</v>
      </c>
      <c r="B56" s="225"/>
      <c r="C56" s="225"/>
      <c r="D56" s="225"/>
      <c r="E56" s="229"/>
      <c r="F56" s="229">
        <v>0.2</v>
      </c>
      <c r="G56" s="229">
        <v>0.8</v>
      </c>
      <c r="H56" s="225"/>
      <c r="I56" s="225"/>
      <c r="J56" s="225"/>
      <c r="K56" s="225"/>
      <c r="L56" s="225"/>
      <c r="M56" s="660"/>
      <c r="N56" s="660"/>
      <c r="O56" s="660"/>
      <c r="P56" s="663"/>
      <c r="Q56" s="663">
        <v>0.2</v>
      </c>
      <c r="R56" s="663">
        <v>0.8</v>
      </c>
      <c r="S56" s="660"/>
      <c r="T56" s="660"/>
      <c r="U56" s="660"/>
      <c r="V56" s="660"/>
      <c r="W56" s="660"/>
      <c r="X56" s="660"/>
      <c r="Y56" s="661">
        <f t="shared" ref="Y56:Y62" si="6">K56-V56</f>
        <v>0</v>
      </c>
      <c r="Z56" s="661">
        <f t="shared" si="2"/>
        <v>0</v>
      </c>
      <c r="AA56" s="2"/>
    </row>
    <row r="57" spans="1:27" ht="15.75">
      <c r="A57" s="13" t="s">
        <v>646</v>
      </c>
      <c r="B57" s="225">
        <v>6050000</v>
      </c>
      <c r="C57" s="225"/>
      <c r="D57" s="225"/>
      <c r="E57" s="229"/>
      <c r="F57" s="229">
        <v>1</v>
      </c>
      <c r="G57" s="229"/>
      <c r="H57" s="225"/>
      <c r="I57" s="225"/>
      <c r="J57" s="225"/>
      <c r="K57" s="225">
        <f>B57*F57</f>
        <v>6050000</v>
      </c>
      <c r="L57" s="225"/>
      <c r="M57" s="660">
        <v>5100000</v>
      </c>
      <c r="N57" s="660"/>
      <c r="O57" s="660"/>
      <c r="P57" s="663"/>
      <c r="Q57" s="663">
        <v>1</v>
      </c>
      <c r="R57" s="663"/>
      <c r="S57" s="660"/>
      <c r="T57" s="660"/>
      <c r="U57" s="660"/>
      <c r="V57" s="660">
        <f>M57*Q57</f>
        <v>5100000</v>
      </c>
      <c r="W57" s="660"/>
      <c r="X57" s="660"/>
      <c r="Y57" s="661">
        <f>K57-V57</f>
        <v>950000</v>
      </c>
      <c r="Z57" s="661">
        <f t="shared" si="2"/>
        <v>0</v>
      </c>
      <c r="AA57" s="2"/>
    </row>
    <row r="58" spans="1:27" ht="15.75">
      <c r="A58" s="13" t="s">
        <v>411</v>
      </c>
      <c r="B58" s="225">
        <f>B59+B60+B61</f>
        <v>4800000</v>
      </c>
      <c r="C58" s="225">
        <f t="shared" ref="C58:L58" si="7">C59+C60+C61</f>
        <v>1</v>
      </c>
      <c r="D58" s="225">
        <f t="shared" si="7"/>
        <v>0</v>
      </c>
      <c r="E58" s="225">
        <f t="shared" si="7"/>
        <v>0</v>
      </c>
      <c r="F58" s="225">
        <f t="shared" si="7"/>
        <v>1</v>
      </c>
      <c r="G58" s="225">
        <f t="shared" si="7"/>
        <v>0</v>
      </c>
      <c r="H58" s="225">
        <f t="shared" si="7"/>
        <v>0</v>
      </c>
      <c r="I58" s="225">
        <f>I59+I60+I61</f>
        <v>1550000</v>
      </c>
      <c r="J58" s="225">
        <f>J59+J60+J61</f>
        <v>2450000</v>
      </c>
      <c r="K58" s="225">
        <f>K59+K60+K61</f>
        <v>800000</v>
      </c>
      <c r="L58" s="225">
        <f t="shared" si="7"/>
        <v>0</v>
      </c>
      <c r="M58" s="660">
        <f>M59+M60</f>
        <v>5500000</v>
      </c>
      <c r="N58" s="660"/>
      <c r="O58" s="660"/>
      <c r="P58" s="663"/>
      <c r="Q58" s="663"/>
      <c r="R58" s="663"/>
      <c r="S58" s="660"/>
      <c r="T58" s="660">
        <f>T59+T60</f>
        <v>2100000</v>
      </c>
      <c r="U58" s="660"/>
      <c r="V58" s="660">
        <f>V59+V60</f>
        <v>3400000</v>
      </c>
      <c r="W58" s="660"/>
      <c r="X58" s="660"/>
      <c r="Y58" s="661">
        <f t="shared" si="6"/>
        <v>-2600000</v>
      </c>
      <c r="Z58" s="661">
        <f t="shared" si="2"/>
        <v>0</v>
      </c>
      <c r="AA58" s="2"/>
    </row>
    <row r="59" spans="1:27" s="11" customFormat="1" ht="15.75">
      <c r="A59" s="16" t="s">
        <v>70</v>
      </c>
      <c r="B59" s="231">
        <v>3500000</v>
      </c>
      <c r="C59" s="229">
        <v>1</v>
      </c>
      <c r="D59" s="231"/>
      <c r="E59" s="232"/>
      <c r="F59" s="232"/>
      <c r="G59" s="232"/>
      <c r="H59" s="232"/>
      <c r="I59" s="231">
        <f>B59*30%</f>
        <v>1050000</v>
      </c>
      <c r="J59" s="231">
        <f>B59*70%</f>
        <v>2450000</v>
      </c>
      <c r="K59" s="231">
        <f>B59*E59</f>
        <v>0</v>
      </c>
      <c r="L59" s="231"/>
      <c r="M59" s="664">
        <v>3000000</v>
      </c>
      <c r="N59" s="663">
        <v>0.7</v>
      </c>
      <c r="O59" s="664"/>
      <c r="P59" s="665">
        <v>0.3</v>
      </c>
      <c r="Q59" s="665"/>
      <c r="R59" s="665"/>
      <c r="S59" s="665"/>
      <c r="T59" s="664">
        <f>M59*N59</f>
        <v>2100000</v>
      </c>
      <c r="U59" s="664"/>
      <c r="V59" s="664">
        <f>M59*P59</f>
        <v>900000</v>
      </c>
      <c r="W59" s="664"/>
      <c r="X59" s="664"/>
      <c r="Y59" s="661">
        <f t="shared" si="6"/>
        <v>-900000</v>
      </c>
      <c r="Z59" s="661">
        <f t="shared" si="2"/>
        <v>0</v>
      </c>
      <c r="AA59" s="2"/>
    </row>
    <row r="60" spans="1:27" s="11" customFormat="1" ht="15.75">
      <c r="A60" s="439" t="s">
        <v>836</v>
      </c>
      <c r="B60" s="236">
        <v>800000</v>
      </c>
      <c r="C60" s="276"/>
      <c r="D60" s="236"/>
      <c r="E60" s="304"/>
      <c r="F60" s="304">
        <v>1</v>
      </c>
      <c r="G60" s="304"/>
      <c r="H60" s="304"/>
      <c r="I60" s="236"/>
      <c r="J60" s="236"/>
      <c r="K60" s="236">
        <v>800000</v>
      </c>
      <c r="L60" s="236"/>
      <c r="M60" s="664">
        <v>2500000</v>
      </c>
      <c r="N60" s="663"/>
      <c r="O60" s="664"/>
      <c r="P60" s="665"/>
      <c r="Q60" s="665">
        <v>1</v>
      </c>
      <c r="R60" s="665"/>
      <c r="S60" s="665"/>
      <c r="T60" s="664"/>
      <c r="U60" s="664"/>
      <c r="V60" s="664">
        <f>M60*Q60</f>
        <v>2500000</v>
      </c>
      <c r="W60" s="664"/>
      <c r="X60" s="664"/>
      <c r="Y60" s="661">
        <f t="shared" si="6"/>
        <v>-1700000</v>
      </c>
      <c r="Z60" s="661">
        <f t="shared" si="2"/>
        <v>0</v>
      </c>
      <c r="AA60" s="2"/>
    </row>
    <row r="61" spans="1:27" s="11" customFormat="1" ht="31.5">
      <c r="A61" s="438" t="s">
        <v>835</v>
      </c>
      <c r="B61" s="435">
        <v>500000</v>
      </c>
      <c r="C61" s="436"/>
      <c r="D61" s="435"/>
      <c r="E61" s="437"/>
      <c r="F61" s="437"/>
      <c r="G61" s="437"/>
      <c r="H61" s="437"/>
      <c r="I61" s="435">
        <v>500000</v>
      </c>
      <c r="J61" s="435"/>
      <c r="K61" s="435"/>
      <c r="L61" s="435"/>
      <c r="M61" s="670"/>
      <c r="N61" s="671"/>
      <c r="O61" s="670"/>
      <c r="P61" s="672"/>
      <c r="Q61" s="672"/>
      <c r="R61" s="672"/>
      <c r="S61" s="672"/>
      <c r="T61" s="670"/>
      <c r="U61" s="670"/>
      <c r="V61" s="670"/>
      <c r="W61" s="670"/>
      <c r="X61" s="670"/>
      <c r="Y61" s="673"/>
      <c r="Z61" s="673"/>
      <c r="AA61" s="2"/>
    </row>
    <row r="62" spans="1:27" ht="15.75">
      <c r="A62" s="312" t="s">
        <v>17</v>
      </c>
      <c r="B62" s="237">
        <v>400000</v>
      </c>
      <c r="C62" s="237"/>
      <c r="D62" s="237"/>
      <c r="E62" s="313"/>
      <c r="F62" s="313"/>
      <c r="G62" s="313">
        <v>1</v>
      </c>
      <c r="H62" s="313"/>
      <c r="I62" s="237"/>
      <c r="J62" s="237"/>
      <c r="K62" s="237"/>
      <c r="L62" s="237">
        <f>B62*G62</f>
        <v>400000</v>
      </c>
      <c r="M62" s="674">
        <v>2999000</v>
      </c>
      <c r="N62" s="674"/>
      <c r="O62" s="674"/>
      <c r="P62" s="675"/>
      <c r="Q62" s="675"/>
      <c r="R62" s="675">
        <v>1</v>
      </c>
      <c r="S62" s="675"/>
      <c r="T62" s="674"/>
      <c r="U62" s="674"/>
      <c r="V62" s="674"/>
      <c r="W62" s="674">
        <f>M62*R62</f>
        <v>2999000</v>
      </c>
      <c r="X62" s="674">
        <f>M62*S62</f>
        <v>0</v>
      </c>
      <c r="Y62" s="676">
        <f t="shared" si="6"/>
        <v>0</v>
      </c>
      <c r="Z62" s="674"/>
      <c r="AA62" s="2"/>
    </row>
    <row r="63" spans="1:27" ht="15.75">
      <c r="A63" s="353"/>
      <c r="B63" s="354"/>
      <c r="C63" s="354"/>
      <c r="D63" s="354"/>
      <c r="E63" s="355"/>
      <c r="F63" s="355"/>
      <c r="G63" s="355"/>
      <c r="H63" s="355"/>
      <c r="I63" s="354"/>
      <c r="J63" s="354"/>
      <c r="K63" s="354"/>
      <c r="L63" s="354"/>
      <c r="M63" s="354"/>
      <c r="N63" s="354"/>
      <c r="O63" s="354"/>
      <c r="P63" s="355"/>
      <c r="Q63" s="355"/>
      <c r="R63" s="355"/>
      <c r="S63" s="355"/>
      <c r="T63" s="354"/>
      <c r="U63" s="354"/>
      <c r="V63" s="354"/>
      <c r="W63" s="354"/>
      <c r="X63" s="354"/>
      <c r="Y63" s="33"/>
      <c r="Z63" s="57"/>
      <c r="AA63" s="1">
        <f>5520/4800%</f>
        <v>115</v>
      </c>
    </row>
    <row r="64" spans="1:27" ht="15.75">
      <c r="A64" s="18"/>
      <c r="M64" s="223"/>
      <c r="N64" s="223"/>
      <c r="O64" s="223"/>
      <c r="P64" s="223"/>
      <c r="Q64" s="223"/>
      <c r="R64" s="223"/>
      <c r="S64" s="223"/>
      <c r="T64" s="223"/>
      <c r="U64" s="1040" t="s">
        <v>831</v>
      </c>
      <c r="V64" s="1040"/>
      <c r="W64" s="1040"/>
      <c r="X64" s="1040"/>
      <c r="Y64" s="1040"/>
      <c r="Z64" s="1040"/>
    </row>
    <row r="65" spans="1:26" ht="16.5">
      <c r="K65" s="400"/>
      <c r="L65" s="400"/>
      <c r="M65" s="400"/>
      <c r="N65" s="400"/>
      <c r="O65" s="400"/>
      <c r="P65" s="400"/>
      <c r="Q65" s="400"/>
      <c r="R65" s="400"/>
      <c r="S65" s="400"/>
      <c r="T65" s="400"/>
      <c r="U65" s="1017" t="s">
        <v>637</v>
      </c>
      <c r="V65" s="1017"/>
      <c r="W65" s="1017"/>
      <c r="X65" s="1017"/>
      <c r="Y65" s="1017"/>
      <c r="Z65" s="1017"/>
    </row>
    <row r="66" spans="1:26" ht="16.5">
      <c r="I66" s="407"/>
      <c r="K66" s="400"/>
      <c r="L66" s="400"/>
      <c r="M66" s="400"/>
      <c r="N66" s="400"/>
      <c r="O66" s="400"/>
      <c r="P66" s="400"/>
      <c r="Q66" s="400"/>
      <c r="R66" s="400"/>
      <c r="S66" s="400"/>
      <c r="T66" s="400"/>
      <c r="U66" s="1017" t="s">
        <v>638</v>
      </c>
      <c r="V66" s="1017"/>
      <c r="W66" s="1017"/>
      <c r="X66" s="1017"/>
      <c r="Y66" s="1017"/>
      <c r="Z66" s="1017"/>
    </row>
    <row r="67" spans="1:26" ht="21.75">
      <c r="O67" s="399"/>
      <c r="P67" s="399"/>
      <c r="Q67" s="399"/>
      <c r="R67" s="399"/>
      <c r="S67" s="399"/>
      <c r="T67" s="399"/>
      <c r="U67" s="299"/>
      <c r="V67" s="299"/>
      <c r="W67" s="299"/>
      <c r="X67" s="299"/>
      <c r="Y67" s="298"/>
      <c r="Z67" s="298"/>
    </row>
    <row r="68" spans="1:26" ht="21.75">
      <c r="O68" s="399"/>
      <c r="P68" s="399"/>
      <c r="Q68" s="399"/>
      <c r="R68" s="399"/>
      <c r="S68" s="399"/>
      <c r="T68" s="399"/>
      <c r="U68" s="299"/>
      <c r="V68" s="299"/>
      <c r="W68" s="299"/>
      <c r="X68" s="299"/>
      <c r="Y68" s="298"/>
      <c r="Z68" s="298"/>
    </row>
    <row r="69" spans="1:26" ht="21.75">
      <c r="U69" s="298"/>
      <c r="V69" s="298"/>
      <c r="W69" s="298"/>
      <c r="X69" s="298"/>
      <c r="Y69" s="298"/>
      <c r="Z69" s="298"/>
    </row>
    <row r="70" spans="1:26" ht="21.75">
      <c r="U70" s="298"/>
      <c r="V70" s="1017" t="s">
        <v>807</v>
      </c>
      <c r="W70" s="1017"/>
      <c r="X70" s="1017"/>
      <c r="Y70" s="1017"/>
      <c r="Z70" s="298"/>
    </row>
    <row r="72" spans="1:26" ht="15.75">
      <c r="K72" s="398"/>
      <c r="L72" s="398"/>
      <c r="M72" s="398"/>
      <c r="N72" s="398"/>
      <c r="O72" s="398"/>
      <c r="P72" s="398"/>
      <c r="Q72" s="398"/>
      <c r="R72" s="398"/>
      <c r="S72" s="398"/>
      <c r="T72" s="398"/>
      <c r="U72" s="398"/>
      <c r="V72" s="398"/>
      <c r="W72" s="398"/>
      <c r="X72" s="398"/>
    </row>
    <row r="73" spans="1:26" ht="18.75">
      <c r="N73" s="1039"/>
      <c r="O73" s="1039"/>
      <c r="P73" s="1039"/>
      <c r="Q73" s="395"/>
      <c r="R73" s="395"/>
      <c r="S73" s="395"/>
      <c r="T73" s="395"/>
      <c r="U73" s="395"/>
      <c r="V73" s="395"/>
      <c r="W73" s="395"/>
      <c r="X73" s="395"/>
    </row>
    <row r="74" spans="1:26">
      <c r="K74" s="7"/>
    </row>
    <row r="77" spans="1:26" ht="15.75">
      <c r="A77" s="14"/>
      <c r="B77" s="14"/>
      <c r="C77" s="14"/>
      <c r="D77" s="14"/>
      <c r="E77" s="14"/>
      <c r="F77" s="14"/>
      <c r="G77" s="14"/>
      <c r="H77" s="14"/>
      <c r="I77" s="14"/>
      <c r="J77" s="14"/>
      <c r="K77" s="14"/>
      <c r="L77" s="14"/>
    </row>
    <row r="78" spans="1:26">
      <c r="A78" s="3"/>
      <c r="B78" s="3"/>
      <c r="C78" s="3"/>
      <c r="D78" s="3"/>
      <c r="E78" s="3"/>
      <c r="F78" s="3"/>
      <c r="G78" s="3"/>
      <c r="H78" s="3"/>
      <c r="I78" s="3"/>
      <c r="J78" s="3"/>
      <c r="K78" s="3"/>
      <c r="L78" s="3"/>
    </row>
    <row r="79" spans="1:26">
      <c r="A79" s="3"/>
      <c r="B79" s="3"/>
      <c r="C79" s="3"/>
      <c r="D79" s="3"/>
      <c r="E79" s="3"/>
      <c r="F79" s="3"/>
      <c r="G79" s="3"/>
      <c r="H79" s="3"/>
      <c r="I79" s="3"/>
      <c r="J79" s="3"/>
      <c r="K79" s="3"/>
      <c r="L79" s="3"/>
    </row>
    <row r="80" spans="1:26">
      <c r="A80" s="3"/>
      <c r="B80" s="3"/>
      <c r="C80" s="3"/>
      <c r="D80" s="3"/>
      <c r="E80" s="3"/>
      <c r="F80" s="3"/>
      <c r="G80" s="3"/>
      <c r="H80" s="3"/>
      <c r="I80" s="3"/>
      <c r="J80" s="3"/>
      <c r="K80" s="3"/>
      <c r="L80" s="3"/>
    </row>
    <row r="81" spans="1:12">
      <c r="A81" s="3"/>
      <c r="B81" s="3"/>
      <c r="C81" s="3"/>
      <c r="D81" s="3"/>
      <c r="E81" s="3"/>
      <c r="F81" s="3"/>
      <c r="G81" s="3"/>
      <c r="H81" s="3"/>
      <c r="I81" s="3"/>
      <c r="J81" s="3"/>
      <c r="K81" s="3"/>
      <c r="L81" s="3"/>
    </row>
    <row r="82" spans="1:12">
      <c r="A82" s="3"/>
      <c r="B82" s="3"/>
      <c r="C82" s="3"/>
      <c r="D82" s="3"/>
      <c r="E82" s="3"/>
      <c r="F82" s="3"/>
      <c r="G82" s="3"/>
      <c r="H82" s="3"/>
      <c r="I82" s="3"/>
      <c r="J82" s="3"/>
      <c r="K82" s="3"/>
      <c r="L82" s="3"/>
    </row>
    <row r="83" spans="1:12" ht="15.75">
      <c r="A83" s="398"/>
      <c r="B83" s="398"/>
      <c r="C83" s="398"/>
      <c r="D83" s="398"/>
      <c r="E83" s="398"/>
      <c r="F83" s="398"/>
      <c r="G83" s="398"/>
      <c r="H83" s="398"/>
      <c r="I83" s="398"/>
      <c r="J83" s="398"/>
      <c r="K83" s="398"/>
      <c r="L83" s="398"/>
    </row>
  </sheetData>
  <mergeCells count="20">
    <mergeCell ref="A5:Z5"/>
    <mergeCell ref="L6:Z6"/>
    <mergeCell ref="A7:A8"/>
    <mergeCell ref="B7:B8"/>
    <mergeCell ref="C7:C8"/>
    <mergeCell ref="D7:D8"/>
    <mergeCell ref="E7:E8"/>
    <mergeCell ref="F7:F8"/>
    <mergeCell ref="G7:G8"/>
    <mergeCell ref="H7:H8"/>
    <mergeCell ref="U65:Z65"/>
    <mergeCell ref="U66:Z66"/>
    <mergeCell ref="V70:Y70"/>
    <mergeCell ref="N73:P73"/>
    <mergeCell ref="I7:L7"/>
    <mergeCell ref="M7:M8"/>
    <mergeCell ref="O7:R7"/>
    <mergeCell ref="S7:W7"/>
    <mergeCell ref="X7:Z7"/>
    <mergeCell ref="U64:Z64"/>
  </mergeCells>
  <pageMargins left="0.45" right="0.2" top="0.25" bottom="0.25" header="0.3" footer="0.3"/>
  <pageSetup paperSize="9" scale="85" orientation="landscape" verticalDpi="0" r:id="rId1"/>
</worksheet>
</file>

<file path=xl/worksheets/sheet5.xml><?xml version="1.0" encoding="utf-8"?>
<worksheet xmlns="http://schemas.openxmlformats.org/spreadsheetml/2006/main" xmlns:r="http://schemas.openxmlformats.org/officeDocument/2006/relationships">
  <sheetPr>
    <tabColor rgb="FF00B0F0"/>
  </sheetPr>
  <dimension ref="A1:Q61"/>
  <sheetViews>
    <sheetView workbookViewId="0">
      <selection activeCell="H10" sqref="H10"/>
    </sheetView>
  </sheetViews>
  <sheetFormatPr defaultRowHeight="15.75"/>
  <cols>
    <col min="1" max="1" width="3.875" style="20" customWidth="1"/>
    <col min="2" max="2" width="34" style="31" customWidth="1"/>
    <col min="3" max="3" width="11.625" style="18" hidden="1" customWidth="1"/>
    <col min="4" max="4" width="12.25" style="18" hidden="1" customWidth="1"/>
    <col min="5" max="5" width="11" style="18" hidden="1" customWidth="1"/>
    <col min="6" max="6" width="10.625" style="18" customWidth="1"/>
    <col min="7" max="7" width="11.25" style="18" customWidth="1"/>
    <col min="8" max="8" width="10.875" style="18" customWidth="1"/>
    <col min="9" max="10" width="10.375" style="18" customWidth="1"/>
    <col min="11" max="11" width="8" style="18" customWidth="1"/>
    <col min="12" max="12" width="7.375" style="29" customWidth="1"/>
    <col min="13" max="13" width="7.75" style="29" customWidth="1"/>
    <col min="14" max="14" width="12.75" style="29" customWidth="1"/>
    <col min="15" max="15" width="12.875" style="18" bestFit="1" customWidth="1"/>
    <col min="16" max="16" width="10.875" style="18" bestFit="1" customWidth="1"/>
    <col min="17" max="16384" width="9" style="18"/>
  </cols>
  <sheetData>
    <row r="1" spans="1:16">
      <c r="A1" s="17" t="s">
        <v>667</v>
      </c>
      <c r="B1" s="17"/>
      <c r="C1" s="1055"/>
      <c r="D1" s="1055"/>
      <c r="E1" s="1055"/>
      <c r="F1" s="1055"/>
      <c r="G1" s="1055"/>
      <c r="H1" s="1055"/>
      <c r="I1" s="1055"/>
      <c r="J1" s="1055"/>
      <c r="K1" s="1055"/>
      <c r="L1" s="1055"/>
      <c r="M1" s="1055"/>
    </row>
    <row r="2" spans="1:16" ht="15" customHeight="1">
      <c r="A2" s="17" t="s">
        <v>668</v>
      </c>
      <c r="B2" s="17"/>
    </row>
    <row r="3" spans="1:16" ht="9.75" customHeight="1">
      <c r="B3" s="30"/>
    </row>
    <row r="4" spans="1:16" ht="23.25" customHeight="1">
      <c r="A4" s="1056" t="s">
        <v>1249</v>
      </c>
      <c r="B4" s="1056"/>
      <c r="C4" s="1056"/>
      <c r="D4" s="1056"/>
      <c r="E4" s="1056"/>
      <c r="F4" s="1056"/>
      <c r="G4" s="1056"/>
      <c r="H4" s="1056"/>
      <c r="I4" s="1056"/>
      <c r="J4" s="1056"/>
      <c r="K4" s="1056"/>
      <c r="L4" s="1056"/>
      <c r="M4" s="1056"/>
      <c r="N4" s="24"/>
    </row>
    <row r="5" spans="1:16" ht="12" customHeight="1">
      <c r="A5" s="24"/>
      <c r="B5" s="24"/>
      <c r="C5" s="24"/>
      <c r="D5" s="24"/>
      <c r="E5" s="24"/>
      <c r="F5" s="429"/>
      <c r="G5" s="429"/>
      <c r="H5" s="709"/>
      <c r="I5" s="709"/>
      <c r="J5" s="709"/>
      <c r="K5" s="24"/>
      <c r="L5" s="24"/>
      <c r="M5" s="24"/>
      <c r="N5" s="24"/>
    </row>
    <row r="6" spans="1:16">
      <c r="C6" s="1057" t="s">
        <v>808</v>
      </c>
      <c r="D6" s="1057"/>
      <c r="E6" s="1057"/>
      <c r="F6" s="1057"/>
      <c r="G6" s="1057"/>
      <c r="H6" s="1057"/>
      <c r="I6" s="1057"/>
      <c r="J6" s="1057"/>
      <c r="K6" s="1057"/>
      <c r="L6" s="1057"/>
      <c r="M6" s="1057"/>
      <c r="N6" s="102"/>
    </row>
    <row r="7" spans="1:16" ht="22.5" customHeight="1">
      <c r="A7" s="1054" t="s">
        <v>76</v>
      </c>
      <c r="B7" s="925" t="s">
        <v>772</v>
      </c>
      <c r="C7" s="1033" t="s">
        <v>536</v>
      </c>
      <c r="D7" s="1034"/>
      <c r="E7" s="1035"/>
      <c r="F7" s="1033" t="s">
        <v>828</v>
      </c>
      <c r="G7" s="1034"/>
      <c r="H7" s="1035"/>
      <c r="I7" s="1033" t="s">
        <v>1244</v>
      </c>
      <c r="J7" s="1035"/>
      <c r="K7" s="1051" t="s">
        <v>1246</v>
      </c>
      <c r="L7" s="1051" t="s">
        <v>1247</v>
      </c>
      <c r="M7" s="1051" t="s">
        <v>1248</v>
      </c>
      <c r="N7" s="1053"/>
    </row>
    <row r="8" spans="1:16" ht="70.5" customHeight="1">
      <c r="A8" s="1054"/>
      <c r="B8" s="926"/>
      <c r="C8" s="900" t="s">
        <v>449</v>
      </c>
      <c r="D8" s="900" t="s">
        <v>448</v>
      </c>
      <c r="E8" s="900" t="s">
        <v>774</v>
      </c>
      <c r="F8" s="900" t="s">
        <v>449</v>
      </c>
      <c r="G8" s="900" t="s">
        <v>448</v>
      </c>
      <c r="H8" s="900" t="s">
        <v>830</v>
      </c>
      <c r="I8" s="900" t="s">
        <v>449</v>
      </c>
      <c r="J8" s="900" t="s">
        <v>448</v>
      </c>
      <c r="K8" s="1052"/>
      <c r="L8" s="1052"/>
      <c r="M8" s="1052"/>
      <c r="N8" s="1053"/>
      <c r="P8" s="248"/>
    </row>
    <row r="9" spans="1:16" s="22" customFormat="1" ht="33.75" customHeight="1">
      <c r="A9" s="433" t="s">
        <v>78</v>
      </c>
      <c r="B9" s="36" t="s">
        <v>1641</v>
      </c>
      <c r="C9" s="433"/>
      <c r="D9" s="433"/>
      <c r="E9" s="433"/>
      <c r="F9" s="433">
        <f>F10</f>
        <v>87000000</v>
      </c>
      <c r="G9" s="433">
        <f t="shared" ref="G9:I9" si="0">G10</f>
        <v>87000000</v>
      </c>
      <c r="H9" s="433">
        <f>H10</f>
        <v>89804528</v>
      </c>
      <c r="I9" s="433" t="e">
        <f t="shared" si="0"/>
        <v>#REF!</v>
      </c>
      <c r="J9" s="433" t="e">
        <f>I9</f>
        <v>#REF!</v>
      </c>
      <c r="K9" s="433">
        <f>H9/F9%</f>
        <v>103.22359540229886</v>
      </c>
      <c r="L9" s="433">
        <f>H9/G9%</f>
        <v>103.22359540229886</v>
      </c>
      <c r="M9" s="433" t="e">
        <f>J9/H9%</f>
        <v>#REF!</v>
      </c>
      <c r="N9" s="121"/>
      <c r="O9" s="18"/>
    </row>
    <row r="10" spans="1:16" s="22" customFormat="1" ht="21" customHeight="1">
      <c r="A10" s="289" t="s">
        <v>84</v>
      </c>
      <c r="B10" s="36" t="s">
        <v>1245</v>
      </c>
      <c r="C10" s="326" t="e">
        <f>C11+C15+C23+C24+C25+C26+#REF!+#REF!+C30+C31+C32+C37+C38</f>
        <v>#REF!</v>
      </c>
      <c r="D10" s="326" t="e">
        <f>D11+D15+D23+D24+D25+D26+#REF!+#REF!+D30+D31+D32+D37+D38</f>
        <v>#REF!</v>
      </c>
      <c r="E10" s="326" t="e">
        <f>E11+E15+E23+E24+E25+E26+#REF!+#REF!+E30+E31+E32+E37+E38</f>
        <v>#REF!</v>
      </c>
      <c r="F10" s="326">
        <f>F11+F15+F23+F24+F25+F26+F30+F31+F32+F37+F38</f>
        <v>87000000</v>
      </c>
      <c r="G10" s="326">
        <f>F10</f>
        <v>87000000</v>
      </c>
      <c r="H10" s="326">
        <f>H11+H15+H23+H24+H25+H26+H30+H31+H32+H37+H38</f>
        <v>89804528</v>
      </c>
      <c r="I10" s="326" t="e">
        <f>I11+I15+I23+I24+I25+I26+I30+I31+I32+I37+I38</f>
        <v>#REF!</v>
      </c>
      <c r="J10" s="37" t="e">
        <f>I10</f>
        <v>#REF!</v>
      </c>
      <c r="K10" s="289">
        <f t="shared" ref="K10:K47" si="1">H10/F10%</f>
        <v>103.22359540229886</v>
      </c>
      <c r="L10" s="289">
        <f t="shared" ref="L10:L47" si="2">H10/G10%</f>
        <v>103.22359540229886</v>
      </c>
      <c r="M10" s="289" t="e">
        <f>J10/H10%</f>
        <v>#REF!</v>
      </c>
      <c r="N10" s="615"/>
      <c r="O10" s="104"/>
      <c r="P10" s="616"/>
    </row>
    <row r="11" spans="1:16" s="22" customFormat="1" ht="21" customHeight="1">
      <c r="A11" s="285">
        <v>1</v>
      </c>
      <c r="B11" s="59" t="s">
        <v>775</v>
      </c>
      <c r="C11" s="238" t="e">
        <f t="shared" ref="C11:I11" si="3">C12+C13</f>
        <v>#REF!</v>
      </c>
      <c r="D11" s="238" t="e">
        <f t="shared" si="3"/>
        <v>#REF!</v>
      </c>
      <c r="E11" s="238" t="e">
        <f t="shared" si="3"/>
        <v>#REF!</v>
      </c>
      <c r="F11" s="238">
        <f t="shared" si="3"/>
        <v>500000</v>
      </c>
      <c r="G11" s="434">
        <f t="shared" ref="G11:G38" si="4">F11</f>
        <v>500000</v>
      </c>
      <c r="H11" s="238">
        <f t="shared" si="3"/>
        <v>550000</v>
      </c>
      <c r="I11" s="238">
        <f t="shared" si="3"/>
        <v>100000</v>
      </c>
      <c r="J11" s="40">
        <f t="shared" ref="J11:J45" si="5">I11</f>
        <v>100000</v>
      </c>
      <c r="K11" s="285">
        <f t="shared" si="1"/>
        <v>110</v>
      </c>
      <c r="L11" s="285">
        <f t="shared" si="2"/>
        <v>110</v>
      </c>
      <c r="M11" s="285">
        <f>J11/H11%</f>
        <v>18.181818181818183</v>
      </c>
      <c r="N11" s="124"/>
      <c r="O11" s="104"/>
    </row>
    <row r="12" spans="1:16" ht="21" customHeight="1">
      <c r="A12" s="285" t="s">
        <v>28</v>
      </c>
      <c r="B12" s="59" t="s">
        <v>754</v>
      </c>
      <c r="C12" s="238"/>
      <c r="D12" s="238"/>
      <c r="E12" s="238"/>
      <c r="F12" s="238"/>
      <c r="G12" s="434">
        <f t="shared" si="4"/>
        <v>0</v>
      </c>
      <c r="H12" s="326"/>
      <c r="I12" s="326"/>
      <c r="J12" s="40"/>
      <c r="K12" s="285"/>
      <c r="L12" s="285"/>
      <c r="M12" s="765"/>
      <c r="N12" s="123"/>
      <c r="P12" s="22"/>
    </row>
    <row r="13" spans="1:16" ht="21" customHeight="1">
      <c r="A13" s="285" t="s">
        <v>29</v>
      </c>
      <c r="B13" s="59" t="s">
        <v>755</v>
      </c>
      <c r="C13" s="238" t="e">
        <f>C14+#REF!+#REF!</f>
        <v>#REF!</v>
      </c>
      <c r="D13" s="238" t="e">
        <f>D14+#REF!+#REF!</f>
        <v>#REF!</v>
      </c>
      <c r="E13" s="238" t="e">
        <f>E14+#REF!+#REF!</f>
        <v>#REF!</v>
      </c>
      <c r="F13" s="238">
        <f>F14</f>
        <v>500000</v>
      </c>
      <c r="G13" s="434">
        <f>F13</f>
        <v>500000</v>
      </c>
      <c r="H13" s="238">
        <f>H14</f>
        <v>550000</v>
      </c>
      <c r="I13" s="238">
        <f>I14</f>
        <v>100000</v>
      </c>
      <c r="J13" s="40">
        <f t="shared" si="5"/>
        <v>100000</v>
      </c>
      <c r="K13" s="285">
        <f t="shared" si="1"/>
        <v>110</v>
      </c>
      <c r="L13" s="285">
        <f t="shared" si="2"/>
        <v>110</v>
      </c>
      <c r="M13" s="285">
        <f>J13/H13%</f>
        <v>18.181818181818183</v>
      </c>
      <c r="N13" s="123"/>
      <c r="O13" s="618"/>
      <c r="P13" s="616"/>
    </row>
    <row r="14" spans="1:16" ht="21" customHeight="1">
      <c r="A14" s="285"/>
      <c r="B14" s="59" t="s">
        <v>833</v>
      </c>
      <c r="C14" s="288">
        <v>1199000</v>
      </c>
      <c r="D14" s="288">
        <v>1199000</v>
      </c>
      <c r="E14" s="288">
        <v>300000</v>
      </c>
      <c r="F14" s="288">
        <f>'Thu 2019 được hưởng'!B10</f>
        <v>500000</v>
      </c>
      <c r="G14" s="434">
        <f t="shared" si="4"/>
        <v>500000</v>
      </c>
      <c r="H14" s="434">
        <v>550000</v>
      </c>
      <c r="I14" s="434">
        <f>'Bieu 03'!C11</f>
        <v>100000</v>
      </c>
      <c r="J14" s="40">
        <f t="shared" si="5"/>
        <v>100000</v>
      </c>
      <c r="K14" s="285">
        <f t="shared" si="1"/>
        <v>110</v>
      </c>
      <c r="L14" s="285">
        <f t="shared" si="2"/>
        <v>110</v>
      </c>
      <c r="M14" s="285">
        <f>J14/H14%</f>
        <v>18.181818181818183</v>
      </c>
      <c r="N14" s="123"/>
      <c r="P14" s="22"/>
    </row>
    <row r="15" spans="1:16" ht="21" customHeight="1">
      <c r="A15" s="285">
        <v>2</v>
      </c>
      <c r="B15" s="59" t="s">
        <v>163</v>
      </c>
      <c r="C15" s="238" t="e">
        <f>C17+C21</f>
        <v>#REF!</v>
      </c>
      <c r="D15" s="238" t="e">
        <f>D17+D21</f>
        <v>#REF!</v>
      </c>
      <c r="E15" s="238" t="e">
        <f>E17+E21</f>
        <v>#REF!</v>
      </c>
      <c r="F15" s="238">
        <f>F17+F21</f>
        <v>13000000</v>
      </c>
      <c r="G15" s="434">
        <f t="shared" si="4"/>
        <v>13000000</v>
      </c>
      <c r="H15" s="238">
        <f>H17+H21</f>
        <v>15423003</v>
      </c>
      <c r="I15" s="238" t="e">
        <f>I17+I21</f>
        <v>#REF!</v>
      </c>
      <c r="J15" s="40" t="e">
        <f t="shared" si="5"/>
        <v>#REF!</v>
      </c>
      <c r="K15" s="285">
        <f t="shared" si="1"/>
        <v>118.63848461538461</v>
      </c>
      <c r="L15" s="285">
        <f t="shared" si="2"/>
        <v>118.63848461538461</v>
      </c>
      <c r="M15" s="285" t="e">
        <f>J15/H15%</f>
        <v>#REF!</v>
      </c>
      <c r="N15" s="124">
        <f>'[1]BS 02 (61)'!$E$17*1000</f>
        <v>28039443.020999998</v>
      </c>
      <c r="O15" s="617" t="e">
        <f>#REF!/N15%</f>
        <v>#REF!</v>
      </c>
      <c r="P15" s="22"/>
    </row>
    <row r="16" spans="1:16" ht="21" customHeight="1">
      <c r="A16" s="285" t="s">
        <v>28</v>
      </c>
      <c r="B16" s="59" t="s">
        <v>679</v>
      </c>
      <c r="C16" s="238"/>
      <c r="D16" s="238"/>
      <c r="E16" s="238"/>
      <c r="F16" s="238"/>
      <c r="G16" s="434"/>
      <c r="H16" s="434"/>
      <c r="I16" s="434"/>
      <c r="J16" s="40"/>
      <c r="K16" s="285"/>
      <c r="L16" s="285"/>
      <c r="M16" s="285"/>
      <c r="N16" s="123"/>
      <c r="P16" s="22"/>
    </row>
    <row r="17" spans="1:17" ht="33.75" customHeight="1">
      <c r="A17" s="285" t="s">
        <v>29</v>
      </c>
      <c r="B17" s="59" t="s">
        <v>782</v>
      </c>
      <c r="C17" s="238" t="e">
        <f>C18+C19+C20+#REF!+#REF!+#REF!</f>
        <v>#REF!</v>
      </c>
      <c r="D17" s="238" t="e">
        <f>D18+D19+D20+#REF!+#REF!+#REF!</f>
        <v>#REF!</v>
      </c>
      <c r="E17" s="238" t="e">
        <f>E18+E19+E20+#REF!+#REF!+#REF!</f>
        <v>#REF!</v>
      </c>
      <c r="F17" s="238">
        <f>F18+F19+F20</f>
        <v>12150000</v>
      </c>
      <c r="G17" s="434">
        <f t="shared" si="4"/>
        <v>12150000</v>
      </c>
      <c r="H17" s="238">
        <f>H18+H19+H20</f>
        <v>11423003</v>
      </c>
      <c r="I17" s="238" t="e">
        <f>I18+I19+I20</f>
        <v>#REF!</v>
      </c>
      <c r="J17" s="40" t="e">
        <f t="shared" si="5"/>
        <v>#REF!</v>
      </c>
      <c r="K17" s="285">
        <f t="shared" si="1"/>
        <v>94.016485596707824</v>
      </c>
      <c r="L17" s="285">
        <f t="shared" si="2"/>
        <v>94.016485596707824</v>
      </c>
      <c r="M17" s="285" t="e">
        <f t="shared" ref="M17:M20" si="6">J17/H17%</f>
        <v>#REF!</v>
      </c>
      <c r="N17" s="123"/>
      <c r="P17" s="22"/>
    </row>
    <row r="18" spans="1:17" ht="21" customHeight="1">
      <c r="A18" s="285"/>
      <c r="B18" s="59" t="s">
        <v>207</v>
      </c>
      <c r="C18" s="288">
        <f>200000+44320000</f>
        <v>44520000</v>
      </c>
      <c r="D18" s="288">
        <f>200000+44320000</f>
        <v>44520000</v>
      </c>
      <c r="E18" s="288">
        <v>24920000</v>
      </c>
      <c r="F18" s="288">
        <f>'Thu 2019 được hưởng'!B17+'Thu 2019 được hưởng'!B20</f>
        <v>10720000</v>
      </c>
      <c r="G18" s="434">
        <f t="shared" si="4"/>
        <v>10720000</v>
      </c>
      <c r="H18" s="434">
        <v>11013003</v>
      </c>
      <c r="I18" s="434" t="e">
        <f>'Bieu 03'!#REF!+'Bieu 03'!C15</f>
        <v>#REF!</v>
      </c>
      <c r="J18" s="40" t="e">
        <f t="shared" si="5"/>
        <v>#REF!</v>
      </c>
      <c r="K18" s="285">
        <f t="shared" si="1"/>
        <v>102.73323694029851</v>
      </c>
      <c r="L18" s="285">
        <f t="shared" si="2"/>
        <v>102.73323694029851</v>
      </c>
      <c r="M18" s="285" t="e">
        <f t="shared" si="6"/>
        <v>#REF!</v>
      </c>
      <c r="N18" s="123"/>
      <c r="P18" s="22"/>
    </row>
    <row r="19" spans="1:17" ht="21" customHeight="1">
      <c r="A19" s="285"/>
      <c r="B19" s="59" t="s">
        <v>756</v>
      </c>
      <c r="C19" s="288">
        <v>130000</v>
      </c>
      <c r="D19" s="288">
        <v>130000</v>
      </c>
      <c r="E19" s="288">
        <v>130000</v>
      </c>
      <c r="F19" s="288">
        <f>'Thu 2019 được hưởng'!B29</f>
        <v>130000</v>
      </c>
      <c r="G19" s="434">
        <f t="shared" si="4"/>
        <v>130000</v>
      </c>
      <c r="H19" s="434">
        <v>110000</v>
      </c>
      <c r="I19" s="434" t="e">
        <f>'Bieu 03'!#REF!</f>
        <v>#REF!</v>
      </c>
      <c r="J19" s="40" t="e">
        <f t="shared" si="5"/>
        <v>#REF!</v>
      </c>
      <c r="K19" s="285">
        <f t="shared" si="1"/>
        <v>84.615384615384613</v>
      </c>
      <c r="L19" s="285">
        <f t="shared" si="2"/>
        <v>84.615384615384613</v>
      </c>
      <c r="M19" s="285" t="e">
        <f t="shared" si="6"/>
        <v>#REF!</v>
      </c>
      <c r="N19" s="123"/>
      <c r="P19" s="22"/>
    </row>
    <row r="20" spans="1:17" ht="21" customHeight="1">
      <c r="A20" s="285"/>
      <c r="B20" s="59" t="s">
        <v>757</v>
      </c>
      <c r="C20" s="288">
        <f>3300000-120000</f>
        <v>3180000</v>
      </c>
      <c r="D20" s="288">
        <f>3300000-120000</f>
        <v>3180000</v>
      </c>
      <c r="E20" s="288">
        <f>2100000-120000</f>
        <v>1980000</v>
      </c>
      <c r="F20" s="288">
        <f>'Thu 2019 được hưởng'!B22</f>
        <v>1300000</v>
      </c>
      <c r="G20" s="434">
        <f t="shared" si="4"/>
        <v>1300000</v>
      </c>
      <c r="H20" s="434">
        <v>300000</v>
      </c>
      <c r="I20" s="434" t="e">
        <f>'Bieu 03'!#REF!</f>
        <v>#REF!</v>
      </c>
      <c r="J20" s="40" t="e">
        <f t="shared" si="5"/>
        <v>#REF!</v>
      </c>
      <c r="K20" s="285">
        <f t="shared" si="1"/>
        <v>23.076923076923077</v>
      </c>
      <c r="L20" s="285">
        <f t="shared" si="2"/>
        <v>23.076923076923077</v>
      </c>
      <c r="M20" s="285" t="e">
        <f t="shared" si="6"/>
        <v>#REF!</v>
      </c>
      <c r="N20" s="123"/>
      <c r="P20" s="22"/>
    </row>
    <row r="21" spans="1:17" ht="21" customHeight="1">
      <c r="A21" s="285" t="s">
        <v>106</v>
      </c>
      <c r="B21" s="59" t="s">
        <v>339</v>
      </c>
      <c r="C21" s="238" t="e">
        <f>C22+#REF!+#REF!+#REF!+#REF!+#REF!+#REF!</f>
        <v>#REF!</v>
      </c>
      <c r="D21" s="238" t="e">
        <f>D22+#REF!+#REF!+#REF!+#REF!+#REF!+#REF!</f>
        <v>#REF!</v>
      </c>
      <c r="E21" s="238" t="e">
        <f>E22+#REF!+#REF!+#REF!+#REF!+#REF!+#REF!</f>
        <v>#REF!</v>
      </c>
      <c r="F21" s="288">
        <f>F22</f>
        <v>850000</v>
      </c>
      <c r="G21" s="434">
        <f>F21</f>
        <v>850000</v>
      </c>
      <c r="H21" s="288">
        <f>H22</f>
        <v>4000000</v>
      </c>
      <c r="I21" s="288" t="e">
        <f>I22</f>
        <v>#REF!</v>
      </c>
      <c r="J21" s="40" t="e">
        <f t="shared" si="5"/>
        <v>#REF!</v>
      </c>
      <c r="K21" s="285">
        <f t="shared" si="1"/>
        <v>470.58823529411762</v>
      </c>
      <c r="L21" s="285">
        <f t="shared" si="2"/>
        <v>470.58823529411762</v>
      </c>
      <c r="M21" s="285" t="e">
        <f t="shared" ref="M21:M22" si="7">J21/H21%</f>
        <v>#REF!</v>
      </c>
      <c r="N21" s="123"/>
      <c r="P21" s="22"/>
    </row>
    <row r="22" spans="1:17" ht="21" customHeight="1">
      <c r="A22" s="285"/>
      <c r="B22" s="59" t="s">
        <v>680</v>
      </c>
      <c r="C22" s="288">
        <f>50000+800000</f>
        <v>850000</v>
      </c>
      <c r="D22" s="288">
        <f>50000+800000</f>
        <v>850000</v>
      </c>
      <c r="E22" s="288">
        <v>850000</v>
      </c>
      <c r="F22" s="288">
        <f>'Thu 2019 được hưởng'!B21+'Thu 2019 được hưởng'!B18</f>
        <v>850000</v>
      </c>
      <c r="G22" s="434">
        <f t="shared" si="4"/>
        <v>850000</v>
      </c>
      <c r="H22" s="434">
        <v>4000000</v>
      </c>
      <c r="I22" s="434" t="e">
        <f>'Bieu 03'!#REF!+'Bieu 03'!#REF!</f>
        <v>#REF!</v>
      </c>
      <c r="J22" s="40" t="e">
        <f t="shared" si="5"/>
        <v>#REF!</v>
      </c>
      <c r="K22" s="285">
        <f t="shared" si="1"/>
        <v>470.58823529411762</v>
      </c>
      <c r="L22" s="285">
        <f t="shared" si="2"/>
        <v>470.58823529411762</v>
      </c>
      <c r="M22" s="285" t="e">
        <f t="shared" si="7"/>
        <v>#REF!</v>
      </c>
      <c r="N22" s="123"/>
      <c r="P22" s="22"/>
    </row>
    <row r="23" spans="1:17" ht="21" customHeight="1">
      <c r="A23" s="285">
        <v>3</v>
      </c>
      <c r="B23" s="59" t="s">
        <v>340</v>
      </c>
      <c r="C23" s="238">
        <v>14700000</v>
      </c>
      <c r="D23" s="238">
        <v>14700000</v>
      </c>
      <c r="E23" s="238">
        <v>11400000</v>
      </c>
      <c r="F23" s="288">
        <f>'Thu 2019 được hưởng'!B31</f>
        <v>16800000</v>
      </c>
      <c r="G23" s="434">
        <f t="shared" si="4"/>
        <v>16800000</v>
      </c>
      <c r="H23" s="434">
        <v>18737808</v>
      </c>
      <c r="I23" s="434">
        <f>'Bieu 03'!C16</f>
        <v>22200000</v>
      </c>
      <c r="J23" s="40">
        <f t="shared" si="5"/>
        <v>22200000</v>
      </c>
      <c r="K23" s="285">
        <f t="shared" si="1"/>
        <v>111.53457142857143</v>
      </c>
      <c r="L23" s="285">
        <f t="shared" si="2"/>
        <v>111.53457142857143</v>
      </c>
      <c r="M23" s="285">
        <f t="shared" ref="M23:M25" si="8">J23/H23%</f>
        <v>118.47703850952044</v>
      </c>
      <c r="N23" s="124">
        <f>'[1]BS 02 (61)'!$E$23*1000</f>
        <v>10522109</v>
      </c>
      <c r="O23" s="617" t="e">
        <f>#REF!/N23%</f>
        <v>#REF!</v>
      </c>
      <c r="P23" s="22"/>
    </row>
    <row r="24" spans="1:17" ht="21" customHeight="1">
      <c r="A24" s="285">
        <v>4</v>
      </c>
      <c r="B24" s="59" t="s">
        <v>237</v>
      </c>
      <c r="C24" s="238">
        <v>946000</v>
      </c>
      <c r="D24" s="238">
        <v>946000</v>
      </c>
      <c r="E24" s="238">
        <v>870000</v>
      </c>
      <c r="F24" s="288">
        <f>'Thu 2019 được hưởng'!B34</f>
        <v>950000</v>
      </c>
      <c r="G24" s="434">
        <f t="shared" si="4"/>
        <v>950000</v>
      </c>
      <c r="H24" s="434">
        <v>965125</v>
      </c>
      <c r="I24" s="434">
        <f>'Bieu 03'!C17</f>
        <v>1000000</v>
      </c>
      <c r="J24" s="40">
        <f t="shared" si="5"/>
        <v>1000000</v>
      </c>
      <c r="K24" s="285">
        <f t="shared" si="1"/>
        <v>101.59210526315789</v>
      </c>
      <c r="L24" s="285">
        <f t="shared" si="2"/>
        <v>101.59210526315789</v>
      </c>
      <c r="M24" s="285">
        <f t="shared" si="8"/>
        <v>103.61352156456418</v>
      </c>
      <c r="N24" s="124"/>
      <c r="O24" s="618"/>
      <c r="P24" s="22"/>
    </row>
    <row r="25" spans="1:17" ht="21" customHeight="1">
      <c r="A25" s="285">
        <v>5</v>
      </c>
      <c r="B25" s="59" t="s">
        <v>681</v>
      </c>
      <c r="C25" s="238">
        <v>5338000</v>
      </c>
      <c r="D25" s="238">
        <v>5338000</v>
      </c>
      <c r="E25" s="238">
        <v>4300000</v>
      </c>
      <c r="F25" s="288">
        <f>'Thu 2019 được hưởng'!B35</f>
        <v>5000000</v>
      </c>
      <c r="G25" s="434">
        <f t="shared" si="4"/>
        <v>5000000</v>
      </c>
      <c r="H25" s="434">
        <v>3704393</v>
      </c>
      <c r="I25" s="434">
        <f>'Bieu 03'!C18</f>
        <v>4500000</v>
      </c>
      <c r="J25" s="40">
        <f t="shared" si="5"/>
        <v>4500000</v>
      </c>
      <c r="K25" s="285">
        <f t="shared" si="1"/>
        <v>74.087860000000006</v>
      </c>
      <c r="L25" s="285">
        <f t="shared" si="2"/>
        <v>74.087860000000006</v>
      </c>
      <c r="M25" s="285">
        <f t="shared" si="8"/>
        <v>121.47739184260418</v>
      </c>
      <c r="N25" s="124">
        <f>'[1]BS 02 (61)'!$E$26*1000</f>
        <v>4214832.898</v>
      </c>
      <c r="O25" s="618" t="e">
        <f>#REF!/N25%</f>
        <v>#REF!</v>
      </c>
      <c r="P25" s="22"/>
    </row>
    <row r="26" spans="1:17" ht="21" customHeight="1">
      <c r="A26" s="285">
        <v>6</v>
      </c>
      <c r="B26" s="59" t="s">
        <v>781</v>
      </c>
      <c r="C26" s="238">
        <f>C28+C29+C27</f>
        <v>3500000</v>
      </c>
      <c r="D26" s="238">
        <f>D28+D29+D27</f>
        <v>3500000</v>
      </c>
      <c r="E26" s="238">
        <f>E28+E29+E27</f>
        <v>3500000</v>
      </c>
      <c r="F26" s="238">
        <f>F28+F29+F27</f>
        <v>3000000</v>
      </c>
      <c r="G26" s="434">
        <f t="shared" si="4"/>
        <v>3000000</v>
      </c>
      <c r="H26" s="238">
        <f>H28+H29+H27</f>
        <v>1761057</v>
      </c>
      <c r="I26" s="238" t="e">
        <f>I28+I29+I27</f>
        <v>#REF!</v>
      </c>
      <c r="J26" s="40" t="e">
        <f t="shared" si="5"/>
        <v>#REF!</v>
      </c>
      <c r="K26" s="285">
        <f t="shared" si="1"/>
        <v>58.701900000000002</v>
      </c>
      <c r="L26" s="285">
        <f t="shared" si="2"/>
        <v>58.701900000000002</v>
      </c>
      <c r="M26" s="285" t="e">
        <f>J26/H26%</f>
        <v>#REF!</v>
      </c>
      <c r="N26" s="124">
        <f>'[1]BS 02 (61)'!$E$28*1000</f>
        <v>1927005.2589999998</v>
      </c>
      <c r="O26" s="617" t="e">
        <f>#REF!/N26%</f>
        <v>#REF!</v>
      </c>
      <c r="P26" s="22"/>
    </row>
    <row r="27" spans="1:17" ht="21" customHeight="1">
      <c r="A27" s="285"/>
      <c r="B27" s="59" t="s">
        <v>99</v>
      </c>
      <c r="C27" s="238">
        <v>1060000</v>
      </c>
      <c r="D27" s="238">
        <v>1060000</v>
      </c>
      <c r="E27" s="238">
        <v>1060000</v>
      </c>
      <c r="F27" s="288">
        <f>'Thu 2019 được hưởng'!B38</f>
        <v>950000</v>
      </c>
      <c r="G27" s="434">
        <f t="shared" si="4"/>
        <v>950000</v>
      </c>
      <c r="H27" s="434">
        <v>950000</v>
      </c>
      <c r="I27" s="434" t="e">
        <f>'Bieu 03'!#REF!</f>
        <v>#REF!</v>
      </c>
      <c r="J27" s="40" t="e">
        <f t="shared" si="5"/>
        <v>#REF!</v>
      </c>
      <c r="K27" s="285">
        <f t="shared" si="1"/>
        <v>100</v>
      </c>
      <c r="L27" s="285">
        <f t="shared" si="2"/>
        <v>100</v>
      </c>
      <c r="M27" s="285" t="e">
        <f t="shared" ref="M27:M29" si="9">J27/H27%</f>
        <v>#REF!</v>
      </c>
      <c r="N27" s="124"/>
      <c r="O27" s="104"/>
      <c r="P27" s="22"/>
    </row>
    <row r="28" spans="1:17" ht="21" customHeight="1">
      <c r="A28" s="285"/>
      <c r="B28" s="59" t="s">
        <v>727</v>
      </c>
      <c r="C28" s="288">
        <v>2000000</v>
      </c>
      <c r="D28" s="288">
        <v>2000000</v>
      </c>
      <c r="E28" s="288">
        <v>2000000</v>
      </c>
      <c r="F28" s="288">
        <f>'Thu 2019 được hưởng'!B42</f>
        <v>1750000</v>
      </c>
      <c r="G28" s="434">
        <f t="shared" si="4"/>
        <v>1750000</v>
      </c>
      <c r="H28" s="434">
        <v>581057</v>
      </c>
      <c r="I28" s="434" t="e">
        <f>'Bieu 03'!#REF!</f>
        <v>#REF!</v>
      </c>
      <c r="J28" s="40" t="e">
        <f t="shared" si="5"/>
        <v>#REF!</v>
      </c>
      <c r="K28" s="285">
        <f t="shared" si="1"/>
        <v>33.20325714285714</v>
      </c>
      <c r="L28" s="285">
        <f t="shared" si="2"/>
        <v>33.20325714285714</v>
      </c>
      <c r="M28" s="285" t="e">
        <f t="shared" si="9"/>
        <v>#REF!</v>
      </c>
      <c r="N28" s="123"/>
      <c r="P28" s="22"/>
    </row>
    <row r="29" spans="1:17" ht="21" customHeight="1">
      <c r="A29" s="285"/>
      <c r="B29" s="59" t="s">
        <v>728</v>
      </c>
      <c r="C29" s="288">
        <v>440000</v>
      </c>
      <c r="D29" s="288">
        <v>440000</v>
      </c>
      <c r="E29" s="288">
        <v>440000</v>
      </c>
      <c r="F29" s="288">
        <f>'Thu 2019 được hưởng'!B45</f>
        <v>300000</v>
      </c>
      <c r="G29" s="434">
        <f t="shared" si="4"/>
        <v>300000</v>
      </c>
      <c r="H29" s="434">
        <v>230000</v>
      </c>
      <c r="I29" s="434" t="e">
        <f>'Bieu 03'!#REF!</f>
        <v>#REF!</v>
      </c>
      <c r="J29" s="40" t="e">
        <f t="shared" si="5"/>
        <v>#REF!</v>
      </c>
      <c r="K29" s="285">
        <f t="shared" si="1"/>
        <v>76.666666666666671</v>
      </c>
      <c r="L29" s="285">
        <f t="shared" si="2"/>
        <v>76.666666666666671</v>
      </c>
      <c r="M29" s="285" t="e">
        <f t="shared" si="9"/>
        <v>#REF!</v>
      </c>
      <c r="N29" s="123"/>
      <c r="P29" s="22"/>
    </row>
    <row r="30" spans="1:17" ht="21" customHeight="1">
      <c r="A30" s="285">
        <v>7</v>
      </c>
      <c r="B30" s="59" t="s">
        <v>238</v>
      </c>
      <c r="C30" s="238">
        <v>25000000</v>
      </c>
      <c r="D30" s="238">
        <v>35000000</v>
      </c>
      <c r="E30" s="238">
        <v>25000000</v>
      </c>
      <c r="F30" s="288">
        <f>'Thu 2019 được hưởng'!B48</f>
        <v>36000000</v>
      </c>
      <c r="G30" s="434">
        <f t="shared" si="4"/>
        <v>36000000</v>
      </c>
      <c r="H30" s="434">
        <v>36000000</v>
      </c>
      <c r="I30" s="434">
        <f>'Bieu 03'!C21</f>
        <v>25000000</v>
      </c>
      <c r="J30" s="40">
        <f t="shared" si="5"/>
        <v>25000000</v>
      </c>
      <c r="K30" s="285">
        <f t="shared" si="1"/>
        <v>100</v>
      </c>
      <c r="L30" s="285">
        <f t="shared" si="2"/>
        <v>100</v>
      </c>
      <c r="M30" s="285">
        <f t="shared" ref="M30:M33" si="10">J30/H30%</f>
        <v>69.444444444444443</v>
      </c>
      <c r="N30" s="124">
        <f>'[1]BS 02 (61)'!$E$29*1000</f>
        <v>26326586</v>
      </c>
      <c r="O30" s="617" t="e">
        <f>#REF!/N30%</f>
        <v>#REF!</v>
      </c>
      <c r="P30" s="90"/>
      <c r="Q30" s="71"/>
    </row>
    <row r="31" spans="1:17" ht="21" customHeight="1">
      <c r="A31" s="285">
        <v>8</v>
      </c>
      <c r="B31" s="59" t="s">
        <v>159</v>
      </c>
      <c r="C31" s="238">
        <v>5100000</v>
      </c>
      <c r="D31" s="238">
        <v>7000000</v>
      </c>
      <c r="E31" s="238">
        <v>5100000</v>
      </c>
      <c r="F31" s="288">
        <f>'Thu 2019 được hưởng'!B55</f>
        <v>6050000</v>
      </c>
      <c r="G31" s="434">
        <f t="shared" si="4"/>
        <v>6050000</v>
      </c>
      <c r="H31" s="434">
        <v>6254414</v>
      </c>
      <c r="I31" s="434">
        <f>'Bieu 03'!C22</f>
        <v>5500000</v>
      </c>
      <c r="J31" s="40">
        <f t="shared" si="5"/>
        <v>5500000</v>
      </c>
      <c r="K31" s="285">
        <f t="shared" si="1"/>
        <v>103.37874380165289</v>
      </c>
      <c r="L31" s="285">
        <f t="shared" si="2"/>
        <v>103.37874380165289</v>
      </c>
      <c r="M31" s="285">
        <f t="shared" si="10"/>
        <v>87.93789474121796</v>
      </c>
      <c r="N31" s="124">
        <f>'[1]BS 02 (61)'!$E$30*1000</f>
        <v>5107646.6790000005</v>
      </c>
      <c r="O31" s="618" t="e">
        <f>#REF!/N31%</f>
        <v>#REF!</v>
      </c>
      <c r="P31" s="22"/>
    </row>
    <row r="32" spans="1:17" ht="21" customHeight="1">
      <c r="A32" s="285">
        <v>9</v>
      </c>
      <c r="B32" s="59" t="s">
        <v>160</v>
      </c>
      <c r="C32" s="238">
        <v>5900000</v>
      </c>
      <c r="D32" s="238">
        <v>5900000</v>
      </c>
      <c r="E32" s="238">
        <v>5900000</v>
      </c>
      <c r="F32" s="238">
        <f>F33+F36+F34</f>
        <v>4800000</v>
      </c>
      <c r="G32" s="434">
        <f>F32</f>
        <v>4800000</v>
      </c>
      <c r="H32" s="434">
        <v>5721919</v>
      </c>
      <c r="I32" s="238">
        <f>I33+I36+I34</f>
        <v>4000000</v>
      </c>
      <c r="J32" s="40">
        <f t="shared" si="5"/>
        <v>4000000</v>
      </c>
      <c r="K32" s="285">
        <f t="shared" si="1"/>
        <v>119.20664583333334</v>
      </c>
      <c r="L32" s="285">
        <f t="shared" si="2"/>
        <v>119.20664583333334</v>
      </c>
      <c r="M32" s="285">
        <f t="shared" si="10"/>
        <v>69.906616993354845</v>
      </c>
      <c r="N32" s="239">
        <f>'[1]BS 02 (61)'!$E$40*1000</f>
        <v>3444510.7719999999</v>
      </c>
      <c r="O32" s="104">
        <f>E32/C32%</f>
        <v>100</v>
      </c>
      <c r="P32" s="616" t="e">
        <f>#REF!/N32%</f>
        <v>#REF!</v>
      </c>
    </row>
    <row r="33" spans="1:16" ht="21" customHeight="1">
      <c r="A33" s="285"/>
      <c r="B33" s="59" t="s">
        <v>165</v>
      </c>
      <c r="C33" s="238">
        <v>2400000</v>
      </c>
      <c r="D33" s="238">
        <v>2400000</v>
      </c>
      <c r="E33" s="238">
        <v>2400000</v>
      </c>
      <c r="F33" s="288">
        <v>3000000</v>
      </c>
      <c r="G33" s="434">
        <f t="shared" si="4"/>
        <v>3000000</v>
      </c>
      <c r="H33" s="434">
        <v>1500000</v>
      </c>
      <c r="I33" s="434">
        <f>'Bieu 03'!C26</f>
        <v>2500000</v>
      </c>
      <c r="J33" s="40">
        <f t="shared" si="5"/>
        <v>2500000</v>
      </c>
      <c r="K33" s="285">
        <f t="shared" si="1"/>
        <v>50</v>
      </c>
      <c r="L33" s="285">
        <f t="shared" si="2"/>
        <v>50</v>
      </c>
      <c r="M33" s="285">
        <f t="shared" si="10"/>
        <v>166.66666666666666</v>
      </c>
      <c r="N33" s="123"/>
    </row>
    <row r="34" spans="1:16" ht="37.5" customHeight="1">
      <c r="A34" s="285"/>
      <c r="B34" s="59" t="s">
        <v>1163</v>
      </c>
      <c r="C34" s="238"/>
      <c r="D34" s="238"/>
      <c r="E34" s="238"/>
      <c r="F34" s="288">
        <v>1000000</v>
      </c>
      <c r="G34" s="434"/>
      <c r="H34" s="434">
        <v>3047374</v>
      </c>
      <c r="I34" s="434">
        <f>'Bieu 03'!C27</f>
        <v>1000000</v>
      </c>
      <c r="J34" s="40">
        <f t="shared" si="5"/>
        <v>1000000</v>
      </c>
      <c r="K34" s="285"/>
      <c r="L34" s="285"/>
      <c r="M34" s="285">
        <f>J34/H34%</f>
        <v>32.815138542233413</v>
      </c>
      <c r="N34" s="123"/>
      <c r="P34" s="22"/>
    </row>
    <row r="35" spans="1:16" ht="21" customHeight="1">
      <c r="A35" s="285"/>
      <c r="B35" s="59" t="s">
        <v>166</v>
      </c>
      <c r="C35" s="238"/>
      <c r="D35" s="238"/>
      <c r="E35" s="238"/>
      <c r="F35" s="288">
        <v>800000</v>
      </c>
      <c r="G35" s="434"/>
      <c r="H35" s="434">
        <v>989742</v>
      </c>
      <c r="I35" s="434"/>
      <c r="J35" s="40">
        <f t="shared" si="5"/>
        <v>0</v>
      </c>
      <c r="K35" s="289"/>
      <c r="L35" s="289"/>
      <c r="M35" s="285">
        <f t="shared" ref="M35:M36" si="11">J35/H35%</f>
        <v>0</v>
      </c>
      <c r="N35" s="123"/>
      <c r="P35" s="22"/>
    </row>
    <row r="36" spans="1:16" ht="21" customHeight="1">
      <c r="A36" s="285"/>
      <c r="B36" s="59" t="s">
        <v>167</v>
      </c>
      <c r="C36" s="238">
        <v>3500000</v>
      </c>
      <c r="D36" s="238">
        <v>3500000</v>
      </c>
      <c r="E36" s="238">
        <v>3500000</v>
      </c>
      <c r="F36" s="288">
        <f>'Thu 2019 được hưởng'!B60</f>
        <v>800000</v>
      </c>
      <c r="G36" s="434">
        <f t="shared" si="4"/>
        <v>800000</v>
      </c>
      <c r="H36" s="434">
        <v>184803</v>
      </c>
      <c r="I36" s="434">
        <f>'Bieu 03'!C28</f>
        <v>500000</v>
      </c>
      <c r="J36" s="40">
        <f t="shared" si="5"/>
        <v>500000</v>
      </c>
      <c r="K36" s="285">
        <f t="shared" si="1"/>
        <v>23.100375</v>
      </c>
      <c r="L36" s="285">
        <f t="shared" si="2"/>
        <v>23.100375</v>
      </c>
      <c r="M36" s="285">
        <f t="shared" si="11"/>
        <v>270.55837838130333</v>
      </c>
      <c r="N36" s="123"/>
      <c r="P36" s="22"/>
    </row>
    <row r="37" spans="1:16" ht="21" customHeight="1">
      <c r="A37" s="285">
        <v>10</v>
      </c>
      <c r="B37" s="59" t="s">
        <v>403</v>
      </c>
      <c r="C37" s="238">
        <v>800000</v>
      </c>
      <c r="D37" s="238">
        <v>800000</v>
      </c>
      <c r="E37" s="238">
        <v>3200000</v>
      </c>
      <c r="F37" s="288">
        <f>'Thu 2019 được hưởng'!B62</f>
        <v>400000</v>
      </c>
      <c r="G37" s="434">
        <f t="shared" si="4"/>
        <v>400000</v>
      </c>
      <c r="H37" s="434">
        <v>586759</v>
      </c>
      <c r="I37" s="434">
        <f>'Bieu 03'!C29</f>
        <v>300000</v>
      </c>
      <c r="J37" s="40">
        <f t="shared" si="5"/>
        <v>300000</v>
      </c>
      <c r="K37" s="285">
        <f t="shared" si="1"/>
        <v>146.68975</v>
      </c>
      <c r="L37" s="285">
        <f t="shared" si="2"/>
        <v>146.68975</v>
      </c>
      <c r="M37" s="285">
        <f t="shared" ref="M37:M38" si="12">J37/H37%</f>
        <v>51.128316736513625</v>
      </c>
      <c r="N37" s="123">
        <v>1065000</v>
      </c>
      <c r="O37" s="104">
        <f>N37/D37%</f>
        <v>133.125</v>
      </c>
      <c r="P37" s="22"/>
    </row>
    <row r="38" spans="1:16" ht="21" customHeight="1">
      <c r="A38" s="285">
        <v>11</v>
      </c>
      <c r="B38" s="59" t="s">
        <v>407</v>
      </c>
      <c r="C38" s="238">
        <v>516000</v>
      </c>
      <c r="D38" s="238">
        <v>516000</v>
      </c>
      <c r="E38" s="238">
        <v>621000</v>
      </c>
      <c r="F38" s="288">
        <f>'Thu 2019 được hưởng'!B36</f>
        <v>500000</v>
      </c>
      <c r="G38" s="434">
        <f t="shared" si="4"/>
        <v>500000</v>
      </c>
      <c r="H38" s="434">
        <v>100050</v>
      </c>
      <c r="I38" s="434">
        <f>'Bieu 03'!C19</f>
        <v>500000</v>
      </c>
      <c r="J38" s="40">
        <f t="shared" si="5"/>
        <v>500000</v>
      </c>
      <c r="K38" s="285">
        <f t="shared" si="1"/>
        <v>20.010000000000002</v>
      </c>
      <c r="L38" s="285">
        <f t="shared" si="2"/>
        <v>20.010000000000002</v>
      </c>
      <c r="M38" s="285">
        <f t="shared" si="12"/>
        <v>499.75012493753121</v>
      </c>
      <c r="N38" s="123">
        <f>'[1]BS 02 (61)'!$E$31*1000</f>
        <v>621000</v>
      </c>
      <c r="O38" s="617" t="e">
        <f>#REF!/N38%</f>
        <v>#REF!</v>
      </c>
      <c r="P38" s="22"/>
    </row>
    <row r="39" spans="1:16" ht="20.25" hidden="1" customHeight="1">
      <c r="A39" s="285" t="s">
        <v>85</v>
      </c>
      <c r="B39" s="59" t="s">
        <v>168</v>
      </c>
      <c r="C39" s="238"/>
      <c r="D39" s="238"/>
      <c r="E39" s="238"/>
      <c r="F39" s="288"/>
      <c r="G39" s="434"/>
      <c r="H39" s="434"/>
      <c r="I39" s="434"/>
      <c r="J39" s="37"/>
      <c r="K39" s="289"/>
      <c r="L39" s="289"/>
      <c r="M39" s="766"/>
      <c r="N39" s="123"/>
      <c r="O39" s="18">
        <v>100</v>
      </c>
      <c r="P39" s="22"/>
    </row>
    <row r="40" spans="1:16" s="22" customFormat="1" ht="33.75" customHeight="1">
      <c r="A40" s="325" t="s">
        <v>79</v>
      </c>
      <c r="B40" s="36" t="s">
        <v>1639</v>
      </c>
      <c r="C40" s="287"/>
      <c r="D40" s="287"/>
      <c r="E40" s="287"/>
      <c r="F40" s="287"/>
      <c r="G40" s="434"/>
      <c r="H40" s="326">
        <f>H41+H42</f>
        <v>199500</v>
      </c>
      <c r="I40" s="434"/>
      <c r="J40" s="37">
        <f t="shared" si="5"/>
        <v>0</v>
      </c>
      <c r="K40" s="289"/>
      <c r="L40" s="289"/>
      <c r="M40" s="766"/>
      <c r="N40" s="123"/>
      <c r="O40" s="617" t="e">
        <f>O39-O38</f>
        <v>#REF!</v>
      </c>
    </row>
    <row r="41" spans="1:16" s="22" customFormat="1" ht="35.25" customHeight="1">
      <c r="A41" s="285">
        <v>1</v>
      </c>
      <c r="B41" s="59" t="s">
        <v>280</v>
      </c>
      <c r="C41" s="287"/>
      <c r="D41" s="287"/>
      <c r="E41" s="287"/>
      <c r="F41" s="287"/>
      <c r="G41" s="434"/>
      <c r="H41" s="434">
        <v>167000</v>
      </c>
      <c r="I41" s="434"/>
      <c r="J41" s="37"/>
      <c r="K41" s="289"/>
      <c r="L41" s="289"/>
      <c r="M41" s="766"/>
      <c r="N41" s="123"/>
      <c r="O41" s="18"/>
    </row>
    <row r="42" spans="1:16" ht="21.95" customHeight="1">
      <c r="A42" s="285">
        <v>2</v>
      </c>
      <c r="B42" s="59" t="s">
        <v>281</v>
      </c>
      <c r="C42" s="238"/>
      <c r="D42" s="238"/>
      <c r="E42" s="238"/>
      <c r="F42" s="238"/>
      <c r="G42" s="434"/>
      <c r="H42" s="434">
        <v>32500</v>
      </c>
      <c r="I42" s="434"/>
      <c r="J42" s="37"/>
      <c r="K42" s="289"/>
      <c r="L42" s="289"/>
      <c r="M42" s="766"/>
      <c r="N42" s="123"/>
    </row>
    <row r="43" spans="1:16" ht="21.95" customHeight="1">
      <c r="A43" s="314" t="s">
        <v>564</v>
      </c>
      <c r="B43" s="36" t="s">
        <v>1250</v>
      </c>
      <c r="C43" s="40"/>
      <c r="D43" s="40"/>
      <c r="E43" s="40"/>
      <c r="F43" s="40"/>
      <c r="G43" s="434"/>
      <c r="H43" s="434"/>
      <c r="I43" s="434"/>
      <c r="J43" s="37"/>
      <c r="K43" s="289"/>
      <c r="L43" s="289"/>
      <c r="M43" s="766"/>
      <c r="N43" s="123"/>
    </row>
    <row r="44" spans="1:16" s="22" customFormat="1" ht="21.95" customHeight="1">
      <c r="A44" s="289"/>
      <c r="B44" s="36" t="s">
        <v>279</v>
      </c>
      <c r="C44" s="37">
        <f t="shared" ref="C44:E44" si="13">C45+C46+C47+C49</f>
        <v>221960400</v>
      </c>
      <c r="D44" s="37" t="e">
        <f t="shared" si="13"/>
        <v>#REF!</v>
      </c>
      <c r="E44" s="37">
        <f t="shared" si="13"/>
        <v>193728000</v>
      </c>
      <c r="F44" s="37" t="e">
        <f>F45+F46+F47+F49</f>
        <v>#REF!</v>
      </c>
      <c r="G44" s="37" t="e">
        <f>G45+G46+G47+G49</f>
        <v>#REF!</v>
      </c>
      <c r="H44" s="37">
        <f>H45+H46+H47+H49+H48</f>
        <v>381424536.653</v>
      </c>
      <c r="I44" s="37">
        <f>I45+I46+I47+I49+I48</f>
        <v>58380000</v>
      </c>
      <c r="J44" s="37">
        <f t="shared" si="5"/>
        <v>58380000</v>
      </c>
      <c r="K44" s="289" t="e">
        <f t="shared" si="1"/>
        <v>#REF!</v>
      </c>
      <c r="L44" s="289" t="e">
        <f t="shared" si="2"/>
        <v>#REF!</v>
      </c>
      <c r="M44" s="289">
        <f t="shared" ref="M44:M48" si="14">J44/H44%</f>
        <v>15.305779883036486</v>
      </c>
      <c r="N44" s="124"/>
    </row>
    <row r="45" spans="1:16" ht="21.95" customHeight="1">
      <c r="A45" s="285"/>
      <c r="B45" s="59" t="s">
        <v>684</v>
      </c>
      <c r="C45" s="238">
        <f>5500000+1240000</f>
        <v>6740000</v>
      </c>
      <c r="D45" s="238" t="e">
        <f>'Biểu 02'!#REF!+'Biểu 02'!#REF!</f>
        <v>#REF!</v>
      </c>
      <c r="E45" s="328">
        <f>E37+E36</f>
        <v>6700000</v>
      </c>
      <c r="F45" s="238">
        <f>'Biểu 02'!C13+'Biểu 02'!C27</f>
        <v>4200000</v>
      </c>
      <c r="G45" s="238">
        <f>F45</f>
        <v>4200000</v>
      </c>
      <c r="H45" s="238">
        <v>4200000</v>
      </c>
      <c r="I45" s="238">
        <f>'Biểu 02'!E13+'Biểu 02'!E27</f>
        <v>1550000</v>
      </c>
      <c r="J45" s="40">
        <f t="shared" si="5"/>
        <v>1550000</v>
      </c>
      <c r="K45" s="285">
        <f t="shared" si="1"/>
        <v>100</v>
      </c>
      <c r="L45" s="285">
        <f t="shared" si="2"/>
        <v>100</v>
      </c>
      <c r="M45" s="285">
        <f t="shared" si="14"/>
        <v>36.904761904761905</v>
      </c>
      <c r="N45" s="243" t="e">
        <f>#REF!+#REF!</f>
        <v>#REF!</v>
      </c>
    </row>
    <row r="46" spans="1:16" ht="21.95" customHeight="1">
      <c r="A46" s="285"/>
      <c r="B46" s="59" t="s">
        <v>685</v>
      </c>
      <c r="C46" s="238">
        <f>67247000+4426000</f>
        <v>71673000</v>
      </c>
      <c r="D46" s="238" t="e">
        <f>'Biểu 02'!#REF!+'Biểu 02'!#REF!</f>
        <v>#REF!</v>
      </c>
      <c r="E46" s="328">
        <f>43480600</f>
        <v>43480600</v>
      </c>
      <c r="F46" s="238">
        <f>'Biểu 02'!C14+'Biểu 02'!C28</f>
        <v>60290000</v>
      </c>
      <c r="G46" s="238">
        <f t="shared" ref="G46:G47" si="15">F46</f>
        <v>60290000</v>
      </c>
      <c r="H46" s="238">
        <v>60290000</v>
      </c>
      <c r="I46" s="238">
        <f>'Biểu 02'!E14+'Biểu 02'!E28</f>
        <v>56830000</v>
      </c>
      <c r="J46" s="40">
        <f>I46</f>
        <v>56830000</v>
      </c>
      <c r="K46" s="285">
        <f t="shared" si="1"/>
        <v>100</v>
      </c>
      <c r="L46" s="285">
        <f t="shared" si="2"/>
        <v>100</v>
      </c>
      <c r="M46" s="285">
        <f t="shared" si="14"/>
        <v>94.26107148780892</v>
      </c>
      <c r="N46" s="123"/>
    </row>
    <row r="47" spans="1:16" ht="21.95" customHeight="1">
      <c r="A47" s="285"/>
      <c r="B47" s="59" t="s">
        <v>829</v>
      </c>
      <c r="C47" s="290">
        <v>143547400</v>
      </c>
      <c r="D47" s="290">
        <v>143547400</v>
      </c>
      <c r="E47" s="290">
        <v>143547400</v>
      </c>
      <c r="F47" s="238" t="e">
        <f>'Biểu 02'!C17</f>
        <v>#REF!</v>
      </c>
      <c r="G47" s="238" t="e">
        <f t="shared" si="15"/>
        <v>#REF!</v>
      </c>
      <c r="H47" s="238">
        <v>212611000</v>
      </c>
      <c r="I47" s="238"/>
      <c r="J47" s="40"/>
      <c r="K47" s="285" t="e">
        <f t="shared" si="1"/>
        <v>#REF!</v>
      </c>
      <c r="L47" s="285" t="e">
        <f t="shared" si="2"/>
        <v>#REF!</v>
      </c>
      <c r="M47" s="285">
        <f t="shared" si="14"/>
        <v>0</v>
      </c>
      <c r="N47" s="123"/>
    </row>
    <row r="48" spans="1:16" ht="21.95" customHeight="1">
      <c r="A48" s="285"/>
      <c r="B48" s="59" t="s">
        <v>1640</v>
      </c>
      <c r="C48" s="290"/>
      <c r="D48" s="290"/>
      <c r="E48" s="290"/>
      <c r="F48" s="238"/>
      <c r="G48" s="238"/>
      <c r="H48" s="238">
        <v>49000000</v>
      </c>
      <c r="I48" s="238"/>
      <c r="J48" s="40"/>
      <c r="K48" s="767"/>
      <c r="L48" s="768"/>
      <c r="M48" s="285">
        <f t="shared" si="14"/>
        <v>0</v>
      </c>
      <c r="N48" s="123"/>
    </row>
    <row r="49" spans="1:14" ht="21.95" customHeight="1">
      <c r="A49" s="285"/>
      <c r="B49" s="59" t="s">
        <v>547</v>
      </c>
      <c r="C49" s="40"/>
      <c r="D49" s="40" t="e">
        <f>'Biểu 02'!#REF!</f>
        <v>#REF!</v>
      </c>
      <c r="E49" s="40"/>
      <c r="F49" s="40"/>
      <c r="G49" s="40"/>
      <c r="H49" s="40">
        <f>'Biểu 02'!D15</f>
        <v>55323536.652999997</v>
      </c>
      <c r="I49" s="40"/>
      <c r="J49" s="40"/>
      <c r="K49" s="385"/>
      <c r="L49" s="430"/>
      <c r="M49" s="286"/>
      <c r="N49" s="123"/>
    </row>
    <row r="50" spans="1:14" ht="17.25" customHeight="1">
      <c r="A50" s="28"/>
      <c r="B50" s="35"/>
      <c r="C50" s="1059"/>
      <c r="D50" s="1059"/>
      <c r="E50" s="1059"/>
      <c r="F50" s="1059"/>
      <c r="G50" s="1059"/>
      <c r="H50" s="1059"/>
      <c r="I50" s="1059"/>
      <c r="J50" s="1059"/>
      <c r="K50" s="1059"/>
      <c r="L50" s="1059"/>
      <c r="M50" s="1059"/>
      <c r="N50" s="102"/>
    </row>
    <row r="51" spans="1:14">
      <c r="C51" s="356"/>
      <c r="D51" s="356"/>
      <c r="E51" s="356"/>
      <c r="F51" s="1058" t="s">
        <v>1605</v>
      </c>
      <c r="G51" s="1058"/>
      <c r="H51" s="1058"/>
      <c r="I51" s="1058"/>
      <c r="J51" s="1058"/>
      <c r="K51" s="1058"/>
      <c r="L51" s="1058"/>
      <c r="M51" s="1058"/>
      <c r="N51" s="88"/>
    </row>
    <row r="52" spans="1:14">
      <c r="C52" s="26"/>
      <c r="D52" s="26"/>
      <c r="E52" s="26"/>
      <c r="F52" s="1016" t="s">
        <v>1253</v>
      </c>
      <c r="G52" s="1016"/>
      <c r="H52" s="1016"/>
      <c r="I52" s="1016"/>
      <c r="J52" s="1016"/>
      <c r="K52" s="1016"/>
      <c r="L52" s="1016"/>
      <c r="M52" s="1016"/>
      <c r="N52" s="24"/>
    </row>
    <row r="53" spans="1:14">
      <c r="C53" s="25"/>
      <c r="D53" s="25"/>
      <c r="E53" s="25"/>
      <c r="F53" s="1017" t="s">
        <v>1251</v>
      </c>
      <c r="G53" s="1017"/>
      <c r="H53" s="1017"/>
      <c r="I53" s="1017"/>
      <c r="J53" s="1017"/>
      <c r="K53" s="1017"/>
      <c r="L53" s="1017"/>
      <c r="M53" s="1017"/>
      <c r="N53" s="26"/>
    </row>
    <row r="54" spans="1:14">
      <c r="C54" s="25"/>
      <c r="D54" s="25"/>
      <c r="E54" s="25"/>
      <c r="F54" s="33"/>
      <c r="G54" s="33"/>
      <c r="H54" s="33"/>
      <c r="I54" s="33"/>
      <c r="J54" s="33"/>
      <c r="K54" s="33"/>
      <c r="L54" s="26"/>
      <c r="M54" s="26"/>
      <c r="N54" s="26"/>
    </row>
    <row r="55" spans="1:14" ht="12" customHeight="1">
      <c r="C55" s="20"/>
      <c r="D55" s="20"/>
      <c r="E55" s="20"/>
      <c r="F55" s="33"/>
      <c r="G55" s="33"/>
      <c r="H55" s="33"/>
      <c r="I55" s="33"/>
      <c r="J55" s="33"/>
      <c r="K55" s="33"/>
      <c r="L55" s="28"/>
    </row>
    <row r="56" spans="1:14" ht="16.5" customHeight="1">
      <c r="C56" s="27"/>
      <c r="D56" s="27"/>
      <c r="E56" s="27"/>
      <c r="F56" s="33"/>
      <c r="G56" s="33"/>
      <c r="H56" s="33"/>
      <c r="I56" s="33"/>
      <c r="J56" s="33"/>
      <c r="K56" s="33"/>
      <c r="L56" s="27"/>
    </row>
    <row r="57" spans="1:14" ht="16.5" customHeight="1">
      <c r="A57" s="654"/>
      <c r="C57" s="27"/>
      <c r="D57" s="27"/>
      <c r="E57" s="27"/>
      <c r="F57" s="33"/>
      <c r="G57" s="33"/>
      <c r="H57" s="33"/>
      <c r="I57" s="33"/>
      <c r="J57" s="33"/>
      <c r="K57" s="33"/>
      <c r="L57" s="27"/>
    </row>
    <row r="58" spans="1:14" ht="18.75" customHeight="1">
      <c r="C58" s="27"/>
      <c r="D58" s="27"/>
      <c r="E58" s="27"/>
      <c r="F58" s="33"/>
      <c r="G58" s="33"/>
      <c r="H58" s="33"/>
      <c r="I58" s="33"/>
      <c r="J58" s="33"/>
      <c r="K58" s="33"/>
      <c r="L58" s="27"/>
      <c r="M58" s="27"/>
      <c r="N58" s="24"/>
    </row>
    <row r="59" spans="1:14">
      <c r="F59" s="1017" t="s">
        <v>1252</v>
      </c>
      <c r="G59" s="1017"/>
      <c r="H59" s="1017"/>
      <c r="I59" s="1017"/>
      <c r="J59" s="1017"/>
      <c r="K59" s="1017"/>
      <c r="L59" s="1017"/>
      <c r="M59" s="1017"/>
    </row>
    <row r="60" spans="1:14" ht="18" customHeight="1">
      <c r="C60" s="27"/>
      <c r="D60" s="27"/>
      <c r="E60" s="27"/>
      <c r="F60" s="1"/>
      <c r="G60" s="1"/>
      <c r="H60" s="1"/>
      <c r="I60" s="1"/>
      <c r="J60" s="1"/>
      <c r="K60" s="1"/>
      <c r="L60" s="27"/>
      <c r="M60" s="27"/>
      <c r="N60" s="27"/>
    </row>
    <row r="61" spans="1:14" ht="18.75">
      <c r="C61" s="19"/>
      <c r="D61" s="19"/>
      <c r="E61" s="19"/>
      <c r="F61" s="428"/>
      <c r="G61" s="428"/>
      <c r="H61" s="707"/>
      <c r="I61" s="707"/>
      <c r="J61" s="707"/>
      <c r="K61" s="19"/>
      <c r="L61" s="32"/>
    </row>
  </sheetData>
  <mergeCells count="16">
    <mergeCell ref="F59:M59"/>
    <mergeCell ref="F51:M51"/>
    <mergeCell ref="F52:M52"/>
    <mergeCell ref="F53:M53"/>
    <mergeCell ref="C50:M50"/>
    <mergeCell ref="K7:K8"/>
    <mergeCell ref="N7:N8"/>
    <mergeCell ref="A7:A8"/>
    <mergeCell ref="C1:M1"/>
    <mergeCell ref="M7:M8"/>
    <mergeCell ref="A4:M4"/>
    <mergeCell ref="C6:M6"/>
    <mergeCell ref="C7:E7"/>
    <mergeCell ref="L7:L8"/>
    <mergeCell ref="F7:H7"/>
    <mergeCell ref="I7:J7"/>
  </mergeCells>
  <phoneticPr fontId="0" type="noConversion"/>
  <pageMargins left="0.25" right="0.02" top="0.63" bottom="0.5" header="0.28000000000000003" footer="0.511811023622047"/>
  <pageSetup paperSize="9" scale="80" orientation="portrait" horizontalDpi="180" verticalDpi="180" r:id="rId1"/>
  <headerFooter alignWithMargins="0">
    <oddHeader>Page &amp;P</oddHeader>
  </headerFooter>
  <drawing r:id="rId2"/>
</worksheet>
</file>

<file path=xl/worksheets/sheet6.xml><?xml version="1.0" encoding="utf-8"?>
<worksheet xmlns="http://schemas.openxmlformats.org/spreadsheetml/2006/main" xmlns:r="http://schemas.openxmlformats.org/officeDocument/2006/relationships">
  <sheetPr>
    <tabColor rgb="FF00B0F0"/>
  </sheetPr>
  <dimension ref="A1:G65"/>
  <sheetViews>
    <sheetView workbookViewId="0">
      <selection activeCell="C9" sqref="C9:C10"/>
    </sheetView>
  </sheetViews>
  <sheetFormatPr defaultRowHeight="15"/>
  <cols>
    <col min="1" max="1" width="6.125" style="120" customWidth="1"/>
    <col min="2" max="2" width="47" style="993" customWidth="1"/>
    <col min="3" max="3" width="11.5" style="993" customWidth="1"/>
    <col min="4" max="4" width="11.875" style="993" customWidth="1"/>
    <col min="5" max="5" width="12" style="993" customWidth="1"/>
    <col min="6" max="16384" width="9" style="993"/>
  </cols>
  <sheetData>
    <row r="1" spans="1:5" s="992" customFormat="1" ht="16.5">
      <c r="A1" s="991" t="s">
        <v>686</v>
      </c>
      <c r="D1" s="1060" t="s">
        <v>1674</v>
      </c>
      <c r="E1" s="1060"/>
    </row>
    <row r="2" spans="1:5" ht="15.75">
      <c r="A2" s="1061" t="s">
        <v>687</v>
      </c>
      <c r="B2" s="1061"/>
    </row>
    <row r="3" spans="1:5" ht="15.75">
      <c r="A3" s="30"/>
      <c r="B3" s="30"/>
    </row>
    <row r="4" spans="1:5" ht="27" customHeight="1">
      <c r="A4" s="1062" t="s">
        <v>1835</v>
      </c>
      <c r="B4" s="1062"/>
      <c r="C4" s="1062"/>
      <c r="D4" s="1062"/>
      <c r="E4" s="1062"/>
    </row>
    <row r="5" spans="1:5" ht="13.5" customHeight="1">
      <c r="A5" s="1063"/>
      <c r="B5" s="1063"/>
      <c r="C5" s="1063"/>
      <c r="D5" s="1063"/>
      <c r="E5" s="1063"/>
    </row>
    <row r="6" spans="1:5" ht="19.5" customHeight="1">
      <c r="D6" s="1063" t="s">
        <v>1834</v>
      </c>
      <c r="E6" s="1063"/>
    </row>
    <row r="7" spans="1:5" ht="23.25" customHeight="1">
      <c r="A7" s="1054" t="s">
        <v>76</v>
      </c>
      <c r="B7" s="1054" t="s">
        <v>772</v>
      </c>
      <c r="C7" s="1054" t="s">
        <v>773</v>
      </c>
      <c r="D7" s="1054" t="s">
        <v>709</v>
      </c>
      <c r="E7" s="1054"/>
    </row>
    <row r="8" spans="1:5" ht="36.75" customHeight="1">
      <c r="A8" s="1054"/>
      <c r="B8" s="1054"/>
      <c r="C8" s="1054"/>
      <c r="D8" s="975" t="s">
        <v>1787</v>
      </c>
      <c r="E8" s="975" t="s">
        <v>1771</v>
      </c>
    </row>
    <row r="9" spans="1:5" s="995" customFormat="1" ht="21.95" customHeight="1">
      <c r="A9" s="975"/>
      <c r="B9" s="975" t="s">
        <v>1772</v>
      </c>
      <c r="C9" s="994">
        <f>D9+E9</f>
        <v>339025999</v>
      </c>
      <c r="D9" s="994">
        <f>D11+D20+D37</f>
        <v>309101000</v>
      </c>
      <c r="E9" s="994">
        <f>E11+E20+E37</f>
        <v>29924999</v>
      </c>
    </row>
    <row r="10" spans="1:5" s="995" customFormat="1" ht="20.25" customHeight="1">
      <c r="A10" s="975" t="s">
        <v>78</v>
      </c>
      <c r="B10" s="994" t="s">
        <v>1773</v>
      </c>
      <c r="C10" s="994"/>
      <c r="D10" s="994"/>
      <c r="E10" s="994"/>
    </row>
    <row r="11" spans="1:5" s="995" customFormat="1" ht="17.25" customHeight="1">
      <c r="A11" s="975" t="s">
        <v>84</v>
      </c>
      <c r="B11" s="994" t="s">
        <v>216</v>
      </c>
      <c r="C11" s="994">
        <f>D11+E11</f>
        <v>23600000</v>
      </c>
      <c r="D11" s="994">
        <f>SUM(D13:D19)</f>
        <v>22600000</v>
      </c>
      <c r="E11" s="994">
        <f>SUM(E13:E19)</f>
        <v>1000000</v>
      </c>
    </row>
    <row r="12" spans="1:5" ht="24.95" customHeight="1">
      <c r="A12" s="1001"/>
      <c r="B12" s="1002" t="s">
        <v>1774</v>
      </c>
      <c r="C12" s="1003"/>
      <c r="D12" s="1002"/>
      <c r="E12" s="1002"/>
    </row>
    <row r="13" spans="1:5" ht="24.95" customHeight="1">
      <c r="A13" s="1004">
        <v>1</v>
      </c>
      <c r="B13" s="972" t="s">
        <v>1732</v>
      </c>
      <c r="C13" s="972">
        <f>D13+E13</f>
        <v>19724000</v>
      </c>
      <c r="D13" s="972">
        <f>(59.74+33.97+400+153+700+150+500+436.844+6500+6500+1000+1187.446+361+742)*1000</f>
        <v>18724000</v>
      </c>
      <c r="E13" s="972">
        <v>1000000</v>
      </c>
    </row>
    <row r="14" spans="1:5" ht="24.95" customHeight="1">
      <c r="A14" s="1004">
        <f>A13+1</f>
        <v>2</v>
      </c>
      <c r="B14" s="972" t="s">
        <v>1680</v>
      </c>
      <c r="C14" s="972">
        <f t="shared" ref="C14:C37" si="0">D14+E14</f>
        <v>517000</v>
      </c>
      <c r="D14" s="972">
        <f>(192+235+90)*1000</f>
        <v>517000</v>
      </c>
      <c r="E14" s="972"/>
    </row>
    <row r="15" spans="1:5" ht="24.95" customHeight="1">
      <c r="A15" s="1004">
        <v>3</v>
      </c>
      <c r="B15" s="972" t="s">
        <v>1775</v>
      </c>
      <c r="C15" s="972">
        <f t="shared" si="0"/>
        <v>198000</v>
      </c>
      <c r="D15" s="972">
        <f>(38+160)*1000</f>
        <v>198000</v>
      </c>
      <c r="E15" s="972"/>
    </row>
    <row r="16" spans="1:5" ht="24.95" customHeight="1">
      <c r="A16" s="1004">
        <v>4</v>
      </c>
      <c r="B16" s="972" t="s">
        <v>1776</v>
      </c>
      <c r="C16" s="972">
        <f t="shared" si="0"/>
        <v>1000000</v>
      </c>
      <c r="D16" s="972">
        <f>1000000</f>
        <v>1000000</v>
      </c>
      <c r="E16" s="972"/>
    </row>
    <row r="17" spans="1:6" ht="24.95" customHeight="1">
      <c r="A17" s="1004">
        <v>5</v>
      </c>
      <c r="B17" s="972" t="s">
        <v>1777</v>
      </c>
      <c r="C17" s="972">
        <f t="shared" si="0"/>
        <v>400000</v>
      </c>
      <c r="D17" s="972">
        <v>400000</v>
      </c>
      <c r="E17" s="972"/>
    </row>
    <row r="18" spans="1:6" ht="24.95" customHeight="1">
      <c r="A18" s="1004">
        <v>6</v>
      </c>
      <c r="B18" s="972" t="s">
        <v>1778</v>
      </c>
      <c r="C18" s="972">
        <f t="shared" si="0"/>
        <v>111000</v>
      </c>
      <c r="D18" s="972">
        <v>111000</v>
      </c>
      <c r="E18" s="972"/>
    </row>
    <row r="19" spans="1:6" ht="24.95" customHeight="1">
      <c r="A19" s="1004">
        <v>6</v>
      </c>
      <c r="B19" s="972" t="s">
        <v>1779</v>
      </c>
      <c r="C19" s="972">
        <f t="shared" si="0"/>
        <v>1650000</v>
      </c>
      <c r="D19" s="972">
        <f>(1000+172+167+311)*1000</f>
        <v>1650000</v>
      </c>
      <c r="E19" s="972"/>
    </row>
    <row r="20" spans="1:6" s="995" customFormat="1" ht="24.95" customHeight="1">
      <c r="A20" s="996" t="s">
        <v>85</v>
      </c>
      <c r="B20" s="997" t="s">
        <v>229</v>
      </c>
      <c r="C20" s="997">
        <f t="shared" si="0"/>
        <v>311963604</v>
      </c>
      <c r="D20" s="997">
        <f>D21+D22+D25+D26+D27+D28+D31+D32+D33+D34+D35+D36</f>
        <v>283570000</v>
      </c>
      <c r="E20" s="997">
        <f>E21+E22+E25+E26+E27+E28+E31+E32+E33+E34+E35+E36</f>
        <v>28393604</v>
      </c>
    </row>
    <row r="21" spans="1:6" ht="24.95" customHeight="1">
      <c r="A21" s="1004">
        <v>1</v>
      </c>
      <c r="B21" s="972" t="s">
        <v>1732</v>
      </c>
      <c r="C21" s="972">
        <f t="shared" si="0"/>
        <v>54505324</v>
      </c>
      <c r="D21" s="972">
        <v>52751384</v>
      </c>
      <c r="E21" s="972">
        <v>1753940</v>
      </c>
      <c r="F21" s="998"/>
    </row>
    <row r="22" spans="1:6" ht="24.95" customHeight="1">
      <c r="A22" s="1004">
        <f>A21+1</f>
        <v>2</v>
      </c>
      <c r="B22" s="972" t="s">
        <v>1680</v>
      </c>
      <c r="C22" s="972">
        <f t="shared" si="0"/>
        <v>127671303</v>
      </c>
      <c r="D22" s="972">
        <f>D23+D24</f>
        <v>127671303</v>
      </c>
      <c r="E22" s="972"/>
    </row>
    <row r="23" spans="1:6" ht="24.95" customHeight="1">
      <c r="A23" s="1004" t="s">
        <v>550</v>
      </c>
      <c r="B23" s="972" t="s">
        <v>1780</v>
      </c>
      <c r="C23" s="972">
        <f t="shared" si="0"/>
        <v>126756000</v>
      </c>
      <c r="D23" s="972">
        <v>126756000</v>
      </c>
      <c r="E23" s="972"/>
    </row>
    <row r="24" spans="1:6" ht="24.95" customHeight="1">
      <c r="A24" s="1004" t="s">
        <v>550</v>
      </c>
      <c r="B24" s="972" t="s">
        <v>1781</v>
      </c>
      <c r="C24" s="972">
        <f t="shared" si="0"/>
        <v>915303</v>
      </c>
      <c r="D24" s="972">
        <v>915303</v>
      </c>
      <c r="E24" s="972"/>
    </row>
    <row r="25" spans="1:6" ht="24.95" customHeight="1">
      <c r="A25" s="1004">
        <f>A22+1</f>
        <v>3</v>
      </c>
      <c r="B25" s="972" t="s">
        <v>1775</v>
      </c>
      <c r="C25" s="972">
        <f t="shared" si="0"/>
        <v>19525000</v>
      </c>
      <c r="D25" s="972">
        <v>19525000</v>
      </c>
      <c r="E25" s="972"/>
    </row>
    <row r="26" spans="1:6" ht="24.95" customHeight="1">
      <c r="A26" s="1004">
        <v>4</v>
      </c>
      <c r="B26" s="972" t="s">
        <v>1776</v>
      </c>
      <c r="C26" s="972">
        <f t="shared" si="0"/>
        <v>6985874</v>
      </c>
      <c r="D26" s="972">
        <v>5776738</v>
      </c>
      <c r="E26" s="972">
        <v>1209136</v>
      </c>
    </row>
    <row r="27" spans="1:6" ht="24.95" customHeight="1">
      <c r="A27" s="1004">
        <f>A26+1</f>
        <v>5</v>
      </c>
      <c r="B27" s="972" t="s">
        <v>1777</v>
      </c>
      <c r="C27" s="972">
        <f t="shared" si="0"/>
        <v>1001000</v>
      </c>
      <c r="D27" s="972">
        <v>796000</v>
      </c>
      <c r="E27" s="972">
        <v>205000</v>
      </c>
    </row>
    <row r="28" spans="1:6" ht="24.95" customHeight="1">
      <c r="A28" s="1004">
        <f>A27+1</f>
        <v>6</v>
      </c>
      <c r="B28" s="972" t="s">
        <v>1782</v>
      </c>
      <c r="C28" s="972">
        <f t="shared" si="0"/>
        <v>4401441</v>
      </c>
      <c r="D28" s="972">
        <f>D29+D30</f>
        <v>3536321</v>
      </c>
      <c r="E28" s="972">
        <f>E29+E30</f>
        <v>865120</v>
      </c>
    </row>
    <row r="29" spans="1:6" ht="24.95" customHeight="1">
      <c r="A29" s="1004" t="s">
        <v>550</v>
      </c>
      <c r="B29" s="972" t="s">
        <v>1783</v>
      </c>
      <c r="C29" s="972">
        <f t="shared" si="0"/>
        <v>3571441</v>
      </c>
      <c r="D29" s="972">
        <v>3006321</v>
      </c>
      <c r="E29" s="972">
        <v>565120</v>
      </c>
    </row>
    <row r="30" spans="1:6" ht="24.95" customHeight="1">
      <c r="A30" s="1004" t="s">
        <v>550</v>
      </c>
      <c r="B30" s="972" t="s">
        <v>1778</v>
      </c>
      <c r="C30" s="972">
        <f t="shared" si="0"/>
        <v>830000</v>
      </c>
      <c r="D30" s="972">
        <v>530000</v>
      </c>
      <c r="E30" s="972">
        <v>300000</v>
      </c>
    </row>
    <row r="31" spans="1:6" ht="24.95" customHeight="1">
      <c r="A31" s="1004">
        <f>A28+1</f>
        <v>7</v>
      </c>
      <c r="B31" s="972" t="s">
        <v>1784</v>
      </c>
      <c r="C31" s="972">
        <f t="shared" si="0"/>
        <v>20000000</v>
      </c>
      <c r="D31" s="972">
        <v>20000000</v>
      </c>
      <c r="E31" s="972"/>
    </row>
    <row r="32" spans="1:6" ht="24.95" customHeight="1">
      <c r="A32" s="1004">
        <f>A31+1</f>
        <v>8</v>
      </c>
      <c r="B32" s="972" t="s">
        <v>1681</v>
      </c>
      <c r="C32" s="972">
        <f t="shared" si="0"/>
        <v>12962158</v>
      </c>
      <c r="D32" s="972">
        <v>10877559</v>
      </c>
      <c r="E32" s="972">
        <v>2084599</v>
      </c>
    </row>
    <row r="33" spans="1:7" ht="24.95" customHeight="1">
      <c r="A33" s="1004">
        <f>A32+1</f>
        <v>9</v>
      </c>
      <c r="B33" s="972" t="s">
        <v>1779</v>
      </c>
      <c r="C33" s="972">
        <f t="shared" si="0"/>
        <v>58987459.000000007</v>
      </c>
      <c r="D33" s="972">
        <f>(29959.043+2500+4800)*1000</f>
        <v>37259043.000000007</v>
      </c>
      <c r="E33" s="972">
        <f>(20788.416+940)*1000</f>
        <v>21728416</v>
      </c>
    </row>
    <row r="34" spans="1:7" ht="24.95" customHeight="1">
      <c r="A34" s="1004">
        <f>A33+1</f>
        <v>10</v>
      </c>
      <c r="B34" s="972" t="s">
        <v>1785</v>
      </c>
      <c r="C34" s="972">
        <f t="shared" si="0"/>
        <v>500000</v>
      </c>
      <c r="D34" s="972">
        <v>500000</v>
      </c>
      <c r="E34" s="972"/>
    </row>
    <row r="35" spans="1:7" ht="24.95" customHeight="1">
      <c r="A35" s="1004">
        <f>A34+1</f>
        <v>11</v>
      </c>
      <c r="B35" s="972" t="s">
        <v>576</v>
      </c>
      <c r="C35" s="972">
        <f t="shared" si="0"/>
        <v>5064393</v>
      </c>
      <c r="D35" s="972">
        <f>(200+3517+200+600)*1000</f>
        <v>4517000</v>
      </c>
      <c r="E35" s="972">
        <v>547393</v>
      </c>
    </row>
    <row r="36" spans="1:7" ht="24.95" customHeight="1">
      <c r="A36" s="1005">
        <v>12</v>
      </c>
      <c r="B36" s="1006" t="s">
        <v>1786</v>
      </c>
      <c r="C36" s="1007">
        <f t="shared" si="0"/>
        <v>359652</v>
      </c>
      <c r="D36" s="1006">
        <v>359652</v>
      </c>
      <c r="E36" s="1006"/>
    </row>
    <row r="37" spans="1:7" s="995" customFormat="1" ht="20.25" customHeight="1">
      <c r="A37" s="975" t="s">
        <v>565</v>
      </c>
      <c r="B37" s="994" t="s">
        <v>205</v>
      </c>
      <c r="C37" s="994">
        <f t="shared" si="0"/>
        <v>3462395</v>
      </c>
      <c r="D37" s="994">
        <v>2931000</v>
      </c>
      <c r="E37" s="994">
        <v>531395</v>
      </c>
    </row>
    <row r="38" spans="1:7" ht="21.95" customHeight="1"/>
    <row r="39" spans="1:7" ht="23.1" customHeight="1">
      <c r="B39" s="1064"/>
      <c r="C39" s="1064"/>
      <c r="D39" s="1064"/>
      <c r="E39" s="1064"/>
      <c r="F39" s="999"/>
      <c r="G39" s="999"/>
    </row>
    <row r="40" spans="1:7" ht="23.1" customHeight="1">
      <c r="C40" s="1065"/>
      <c r="D40" s="1065"/>
      <c r="E40" s="1065"/>
      <c r="F40" s="1000"/>
      <c r="G40" s="1000"/>
    </row>
    <row r="41" spans="1:7" ht="23.1" customHeight="1">
      <c r="C41" s="1066"/>
      <c r="D41" s="1066"/>
      <c r="E41" s="1066"/>
    </row>
    <row r="42" spans="1:7" ht="36.75" customHeight="1"/>
    <row r="43" spans="1:7" ht="24.95" customHeight="1"/>
    <row r="44" spans="1:7" ht="24.95" customHeight="1">
      <c r="C44" s="1066"/>
      <c r="D44" s="1066"/>
      <c r="E44" s="1066"/>
    </row>
    <row r="45" spans="1:7" ht="24.95" customHeight="1"/>
    <row r="46" spans="1:7" ht="34.5" customHeight="1"/>
    <row r="47" spans="1:7" ht="21.75" customHeight="1"/>
    <row r="48" spans="1:7" ht="0.75" hidden="1" customHeight="1"/>
    <row r="49" ht="19.5"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sheetData>
  <mergeCells count="13">
    <mergeCell ref="B39:E39"/>
    <mergeCell ref="C40:E40"/>
    <mergeCell ref="C41:E41"/>
    <mergeCell ref="C44:E44"/>
    <mergeCell ref="B7:B8"/>
    <mergeCell ref="D1:E1"/>
    <mergeCell ref="A2:B2"/>
    <mergeCell ref="A4:E4"/>
    <mergeCell ref="A7:A8"/>
    <mergeCell ref="D6:E6"/>
    <mergeCell ref="A5:E5"/>
    <mergeCell ref="C7:C8"/>
    <mergeCell ref="D7:E7"/>
  </mergeCells>
  <phoneticPr fontId="19" type="noConversion"/>
  <pageMargins left="0.35" right="0.04" top="0.5" bottom="0.5" header="0.5" footer="0.5"/>
  <pageSetup paperSize="9" orientation="portrait" horizontalDpi="300" verticalDpi="300" r:id="rId1"/>
  <headerFooter differentFirst="1" scaleWithDoc="0"/>
  <drawing r:id="rId2"/>
</worksheet>
</file>

<file path=xl/worksheets/sheet7.xml><?xml version="1.0" encoding="utf-8"?>
<worksheet xmlns="http://schemas.openxmlformats.org/spreadsheetml/2006/main" xmlns:r="http://schemas.openxmlformats.org/officeDocument/2006/relationships">
  <sheetPr>
    <tabColor rgb="FF00B0F0"/>
  </sheetPr>
  <dimension ref="A1:D48"/>
  <sheetViews>
    <sheetView workbookViewId="0">
      <selection activeCell="C8" sqref="C8"/>
    </sheetView>
  </sheetViews>
  <sheetFormatPr defaultRowHeight="15"/>
  <cols>
    <col min="1" max="1" width="4.875" style="1" customWidth="1"/>
    <col min="2" max="2" width="57" style="1" customWidth="1"/>
    <col min="3" max="4" width="15.5" style="1" customWidth="1"/>
    <col min="5" max="16384" width="9" style="1"/>
  </cols>
  <sheetData>
    <row r="1" spans="1:3" ht="15.75">
      <c r="A1" s="1067" t="s">
        <v>1832</v>
      </c>
      <c r="B1" s="1067"/>
      <c r="C1" s="1067"/>
    </row>
    <row r="2" spans="1:3" ht="15.75">
      <c r="A2" s="1068" t="s">
        <v>668</v>
      </c>
      <c r="B2" s="1068"/>
    </row>
    <row r="3" spans="1:3" ht="17.25">
      <c r="A3" s="9"/>
      <c r="B3" s="9"/>
    </row>
    <row r="4" spans="1:3" ht="36" customHeight="1">
      <c r="A4" s="1065" t="s">
        <v>1788</v>
      </c>
      <c r="B4" s="1062"/>
      <c r="C4" s="1062"/>
    </row>
    <row r="5" spans="1:3" ht="18.75" customHeight="1">
      <c r="B5" s="1019" t="s">
        <v>808</v>
      </c>
      <c r="C5" s="1019"/>
    </row>
    <row r="6" spans="1:3" ht="26.25" customHeight="1">
      <c r="A6" s="1020" t="s">
        <v>76</v>
      </c>
      <c r="B6" s="1022" t="s">
        <v>670</v>
      </c>
      <c r="C6" s="1020" t="s">
        <v>1836</v>
      </c>
    </row>
    <row r="7" spans="1:3" ht="21.75" customHeight="1">
      <c r="A7" s="1021"/>
      <c r="B7" s="1023"/>
      <c r="C7" s="1025"/>
    </row>
    <row r="8" spans="1:3" ht="15.75">
      <c r="A8" s="76" t="s">
        <v>78</v>
      </c>
      <c r="B8" s="76" t="s">
        <v>79</v>
      </c>
      <c r="C8" s="76" t="s">
        <v>564</v>
      </c>
    </row>
    <row r="9" spans="1:3" ht="24" customHeight="1">
      <c r="A9" s="1008"/>
      <c r="B9" s="1010" t="s">
        <v>1676</v>
      </c>
      <c r="C9" s="1011">
        <f>C10+C11</f>
        <v>334898000</v>
      </c>
    </row>
    <row r="10" spans="1:3" s="2" customFormat="1" ht="21.95" customHeight="1">
      <c r="A10" s="1009" t="s">
        <v>78</v>
      </c>
      <c r="B10" s="1010" t="s">
        <v>1677</v>
      </c>
      <c r="C10" s="1011">
        <v>25797000</v>
      </c>
    </row>
    <row r="11" spans="1:3" s="2" customFormat="1" ht="21.95" customHeight="1">
      <c r="A11" s="1009" t="s">
        <v>79</v>
      </c>
      <c r="B11" s="1010" t="s">
        <v>1678</v>
      </c>
      <c r="C11" s="1011">
        <f>C12+C21+C38</f>
        <v>309101000</v>
      </c>
    </row>
    <row r="12" spans="1:3" ht="21.95" customHeight="1">
      <c r="A12" s="980" t="s">
        <v>84</v>
      </c>
      <c r="B12" s="41" t="s">
        <v>216</v>
      </c>
      <c r="C12" s="994">
        <f>SUM(C14:C20)</f>
        <v>22600000</v>
      </c>
    </row>
    <row r="13" spans="1:3" ht="21.95" customHeight="1">
      <c r="A13" s="1001"/>
      <c r="B13" s="1002" t="s">
        <v>1774</v>
      </c>
      <c r="C13" s="1002"/>
    </row>
    <row r="14" spans="1:3" ht="21.95" customHeight="1">
      <c r="A14" s="1004">
        <v>1</v>
      </c>
      <c r="B14" s="972" t="s">
        <v>1732</v>
      </c>
      <c r="C14" s="972">
        <f>(59.74+33.97+400+153+700+150+500+436.844+6500+6500+1000+1187.446+361+742)*1000</f>
        <v>18724000</v>
      </c>
    </row>
    <row r="15" spans="1:3" ht="21.95" customHeight="1">
      <c r="A15" s="1004">
        <f>A14+1</f>
        <v>2</v>
      </c>
      <c r="B15" s="972" t="s">
        <v>1680</v>
      </c>
      <c r="C15" s="972">
        <f>(192+235+90)*1000</f>
        <v>517000</v>
      </c>
    </row>
    <row r="16" spans="1:3" ht="21.95" customHeight="1">
      <c r="A16" s="1004">
        <v>3</v>
      </c>
      <c r="B16" s="972" t="s">
        <v>1775</v>
      </c>
      <c r="C16" s="972">
        <f>(38+160)*1000</f>
        <v>198000</v>
      </c>
    </row>
    <row r="17" spans="1:3" ht="21.95" customHeight="1">
      <c r="A17" s="1004">
        <v>4</v>
      </c>
      <c r="B17" s="972" t="s">
        <v>1776</v>
      </c>
      <c r="C17" s="972">
        <f>1000*1000</f>
        <v>1000000</v>
      </c>
    </row>
    <row r="18" spans="1:3" ht="21.95" customHeight="1">
      <c r="A18" s="1004">
        <v>5</v>
      </c>
      <c r="B18" s="972" t="s">
        <v>1777</v>
      </c>
      <c r="C18" s="972">
        <v>400000</v>
      </c>
    </row>
    <row r="19" spans="1:3" ht="21.95" customHeight="1">
      <c r="A19" s="1004">
        <v>6</v>
      </c>
      <c r="B19" s="972" t="s">
        <v>1778</v>
      </c>
      <c r="C19" s="972">
        <v>111000</v>
      </c>
    </row>
    <row r="20" spans="1:3" ht="21.95" customHeight="1">
      <c r="A20" s="1005">
        <v>6</v>
      </c>
      <c r="B20" s="1006" t="s">
        <v>1779</v>
      </c>
      <c r="C20" s="1006">
        <f>(1000+172+167+311)*1000</f>
        <v>1650000</v>
      </c>
    </row>
    <row r="21" spans="1:3" ht="21.95" customHeight="1">
      <c r="A21" s="980" t="s">
        <v>85</v>
      </c>
      <c r="B21" s="994" t="s">
        <v>229</v>
      </c>
      <c r="C21" s="1012">
        <f>C22+C23+C26+C27+C28+C29+C32+C33+C34+C35+C36+C37</f>
        <v>283570000</v>
      </c>
    </row>
    <row r="22" spans="1:3" ht="21.95" customHeight="1">
      <c r="A22" s="1001">
        <v>1</v>
      </c>
      <c r="B22" s="1002" t="s">
        <v>1732</v>
      </c>
      <c r="C22" s="1002">
        <v>52751384</v>
      </c>
    </row>
    <row r="23" spans="1:3" ht="21.95" customHeight="1">
      <c r="A23" s="1004">
        <f>A22+1</f>
        <v>2</v>
      </c>
      <c r="B23" s="972" t="s">
        <v>1680</v>
      </c>
      <c r="C23" s="972">
        <f>C24+C25</f>
        <v>127671303</v>
      </c>
    </row>
    <row r="24" spans="1:3" ht="21.95" customHeight="1">
      <c r="A24" s="1004" t="s">
        <v>550</v>
      </c>
      <c r="B24" s="972" t="s">
        <v>1780</v>
      </c>
      <c r="C24" s="972">
        <v>126756000</v>
      </c>
    </row>
    <row r="25" spans="1:3" ht="21.95" customHeight="1">
      <c r="A25" s="1004" t="s">
        <v>550</v>
      </c>
      <c r="B25" s="972" t="s">
        <v>1781</v>
      </c>
      <c r="C25" s="972">
        <v>915303</v>
      </c>
    </row>
    <row r="26" spans="1:3" ht="21.95" customHeight="1">
      <c r="A26" s="1004">
        <f>A23+1</f>
        <v>3</v>
      </c>
      <c r="B26" s="972" t="s">
        <v>1775</v>
      </c>
      <c r="C26" s="972">
        <v>19525000</v>
      </c>
    </row>
    <row r="27" spans="1:3" ht="21.95" customHeight="1">
      <c r="A27" s="1004">
        <v>4</v>
      </c>
      <c r="B27" s="972" t="s">
        <v>1776</v>
      </c>
      <c r="C27" s="972">
        <v>5776738</v>
      </c>
    </row>
    <row r="28" spans="1:3" ht="21.95" customHeight="1">
      <c r="A28" s="1004">
        <f>A27+1</f>
        <v>5</v>
      </c>
      <c r="B28" s="972" t="s">
        <v>1777</v>
      </c>
      <c r="C28" s="972">
        <v>796000</v>
      </c>
    </row>
    <row r="29" spans="1:3" ht="21.95" customHeight="1">
      <c r="A29" s="1004">
        <f>A28+1</f>
        <v>6</v>
      </c>
      <c r="B29" s="972" t="s">
        <v>1782</v>
      </c>
      <c r="C29" s="972">
        <f>C30+C31</f>
        <v>3536321</v>
      </c>
    </row>
    <row r="30" spans="1:3" ht="21.95" customHeight="1">
      <c r="A30" s="1004" t="s">
        <v>550</v>
      </c>
      <c r="B30" s="972" t="s">
        <v>1783</v>
      </c>
      <c r="C30" s="972">
        <v>3006321</v>
      </c>
    </row>
    <row r="31" spans="1:3" ht="21.95" customHeight="1">
      <c r="A31" s="1004" t="s">
        <v>550</v>
      </c>
      <c r="B31" s="972" t="s">
        <v>1778</v>
      </c>
      <c r="C31" s="972">
        <v>530000</v>
      </c>
    </row>
    <row r="32" spans="1:3" ht="21.95" customHeight="1">
      <c r="A32" s="1004">
        <f>A29+1</f>
        <v>7</v>
      </c>
      <c r="B32" s="972" t="s">
        <v>1784</v>
      </c>
      <c r="C32" s="972">
        <v>20000000</v>
      </c>
    </row>
    <row r="33" spans="1:4" ht="21.95" customHeight="1">
      <c r="A33" s="1004">
        <f>A32+1</f>
        <v>8</v>
      </c>
      <c r="B33" s="972" t="s">
        <v>1681</v>
      </c>
      <c r="C33" s="972">
        <v>10877559</v>
      </c>
    </row>
    <row r="34" spans="1:4" ht="21.95" customHeight="1">
      <c r="A34" s="1004">
        <f>A33+1</f>
        <v>9</v>
      </c>
      <c r="B34" s="972" t="s">
        <v>1779</v>
      </c>
      <c r="C34" s="972">
        <f>(29959.043+2500+4800)*1000</f>
        <v>37259043.000000007</v>
      </c>
    </row>
    <row r="35" spans="1:4" ht="21.95" customHeight="1">
      <c r="A35" s="1004">
        <f>A34+1</f>
        <v>10</v>
      </c>
      <c r="B35" s="972" t="s">
        <v>1785</v>
      </c>
      <c r="C35" s="972">
        <v>500000</v>
      </c>
    </row>
    <row r="36" spans="1:4" ht="21.95" customHeight="1">
      <c r="A36" s="1004">
        <f>A35+1</f>
        <v>11</v>
      </c>
      <c r="B36" s="972" t="s">
        <v>576</v>
      </c>
      <c r="C36" s="972">
        <f>(200+3517+200+600)*1000</f>
        <v>4517000</v>
      </c>
    </row>
    <row r="37" spans="1:4" ht="21.95" customHeight="1">
      <c r="A37" s="1005">
        <v>12</v>
      </c>
      <c r="B37" s="1006" t="s">
        <v>1786</v>
      </c>
      <c r="C37" s="1006">
        <v>359652</v>
      </c>
    </row>
    <row r="38" spans="1:4" ht="19.5" customHeight="1">
      <c r="A38" s="980" t="s">
        <v>565</v>
      </c>
      <c r="B38" s="994" t="s">
        <v>1755</v>
      </c>
      <c r="C38" s="994">
        <v>2931000</v>
      </c>
    </row>
    <row r="39" spans="1:4" ht="17.25" customHeight="1">
      <c r="A39" s="1009" t="s">
        <v>564</v>
      </c>
      <c r="B39" s="1010" t="s">
        <v>1683</v>
      </c>
      <c r="C39" s="1245">
        <v>0</v>
      </c>
    </row>
    <row r="40" spans="1:4" ht="19.5" customHeight="1">
      <c r="A40" s="44"/>
      <c r="B40" s="44"/>
    </row>
    <row r="41" spans="1:4" ht="16.5" customHeight="1">
      <c r="C41" s="862"/>
      <c r="D41" s="862"/>
    </row>
    <row r="42" spans="1:4" ht="15.75">
      <c r="C42" s="939"/>
      <c r="D42" s="182"/>
    </row>
    <row r="43" spans="1:4" ht="15.75">
      <c r="C43" s="938"/>
      <c r="D43" s="27"/>
    </row>
    <row r="44" spans="1:4" ht="15.75">
      <c r="C44" s="33"/>
      <c r="D44" s="33"/>
    </row>
    <row r="45" spans="1:4" ht="15.75">
      <c r="C45" s="33"/>
      <c r="D45" s="33"/>
    </row>
    <row r="46" spans="1:4" ht="15.75">
      <c r="C46" s="33"/>
      <c r="D46" s="33"/>
    </row>
    <row r="47" spans="1:4" ht="15.75">
      <c r="C47" s="33"/>
      <c r="D47" s="33"/>
    </row>
    <row r="48" spans="1:4" ht="15.75">
      <c r="C48" s="938"/>
      <c r="D48" s="27"/>
    </row>
  </sheetData>
  <mergeCells count="7">
    <mergeCell ref="A1:C1"/>
    <mergeCell ref="C6:C7"/>
    <mergeCell ref="A4:C4"/>
    <mergeCell ref="B5:C5"/>
    <mergeCell ref="A2:B2"/>
    <mergeCell ref="A6:A7"/>
    <mergeCell ref="B6:B7"/>
  </mergeCells>
  <phoneticPr fontId="0" type="noConversion"/>
  <pageMargins left="0.95" right="0.25" top="0.5" bottom="0.5" header="0.5" footer="0.5"/>
  <pageSetup orientation="portrait" horizontalDpi="180" verticalDpi="180" r:id="rId1"/>
  <headerFooter alignWithMargins="0"/>
  <drawing r:id="rId2"/>
</worksheet>
</file>

<file path=xl/worksheets/sheet8.xml><?xml version="1.0" encoding="utf-8"?>
<worksheet xmlns="http://schemas.openxmlformats.org/spreadsheetml/2006/main" xmlns:r="http://schemas.openxmlformats.org/officeDocument/2006/relationships">
  <sheetPr>
    <tabColor rgb="FF00B0F0"/>
  </sheetPr>
  <dimension ref="A1:M164"/>
  <sheetViews>
    <sheetView topLeftCell="C1" workbookViewId="0">
      <selection activeCell="I6" sqref="I6:I7"/>
    </sheetView>
  </sheetViews>
  <sheetFormatPr defaultRowHeight="18.75"/>
  <cols>
    <col min="1" max="1" width="6.75" style="941" customWidth="1"/>
    <col min="2" max="2" width="52.375" style="941" customWidth="1"/>
    <col min="3" max="3" width="12.75" style="941" customWidth="1"/>
    <col min="4" max="4" width="11.625" style="941" customWidth="1"/>
    <col min="5" max="6" width="12.625" style="941" customWidth="1"/>
    <col min="7" max="7" width="10.875" style="941" customWidth="1"/>
    <col min="8" max="8" width="10.125" style="941" customWidth="1"/>
    <col min="9" max="9" width="9.25" style="941" customWidth="1"/>
    <col min="10" max="10" width="6.875" style="941" customWidth="1"/>
    <col min="11" max="11" width="8" style="941" customWidth="1"/>
    <col min="12" max="16384" width="9" style="941"/>
  </cols>
  <sheetData>
    <row r="1" spans="1:13">
      <c r="A1" s="1072" t="s">
        <v>1731</v>
      </c>
      <c r="B1" s="1072"/>
      <c r="C1" s="1072"/>
      <c r="K1" s="1244" t="s">
        <v>1730</v>
      </c>
      <c r="L1" s="1244"/>
      <c r="M1" s="1244"/>
    </row>
    <row r="2" spans="1:13">
      <c r="A2" s="1072" t="s">
        <v>668</v>
      </c>
      <c r="B2" s="1072"/>
      <c r="C2" s="1072"/>
      <c r="E2" s="249"/>
    </row>
    <row r="4" spans="1:13">
      <c r="A4" s="1071" t="s">
        <v>1789</v>
      </c>
      <c r="B4" s="1071"/>
      <c r="C4" s="1071"/>
      <c r="D4" s="1071"/>
      <c r="E4" s="1071"/>
      <c r="F4" s="1071"/>
      <c r="G4" s="1071"/>
      <c r="H4" s="1071"/>
      <c r="I4" s="1071"/>
      <c r="J4" s="1071"/>
      <c r="K4" s="1071"/>
      <c r="L4" s="1071"/>
      <c r="M4" s="1071"/>
    </row>
    <row r="5" spans="1:13">
      <c r="K5" s="1074" t="s">
        <v>808</v>
      </c>
      <c r="L5" s="1074"/>
      <c r="M5" s="1074"/>
    </row>
    <row r="6" spans="1:13" ht="41.25" customHeight="1">
      <c r="A6" s="1076" t="s">
        <v>1684</v>
      </c>
      <c r="B6" s="1076" t="s">
        <v>421</v>
      </c>
      <c r="C6" s="1076" t="s">
        <v>306</v>
      </c>
      <c r="D6" s="1075" t="s">
        <v>1685</v>
      </c>
      <c r="E6" s="1075" t="s">
        <v>1686</v>
      </c>
      <c r="F6" s="1077" t="s">
        <v>709</v>
      </c>
      <c r="G6" s="1078"/>
      <c r="H6" s="1075" t="s">
        <v>1687</v>
      </c>
      <c r="I6" s="1075" t="s">
        <v>1688</v>
      </c>
      <c r="J6" s="1075" t="s">
        <v>1691</v>
      </c>
      <c r="K6" s="1076"/>
      <c r="L6" s="1076"/>
      <c r="M6" s="1069" t="s">
        <v>1690</v>
      </c>
    </row>
    <row r="7" spans="1:13" ht="61.5" customHeight="1">
      <c r="A7" s="1076"/>
      <c r="B7" s="1076"/>
      <c r="C7" s="1076"/>
      <c r="D7" s="1075"/>
      <c r="E7" s="1075"/>
      <c r="F7" s="981" t="s">
        <v>845</v>
      </c>
      <c r="G7" s="981" t="s">
        <v>1819</v>
      </c>
      <c r="H7" s="1075"/>
      <c r="I7" s="1075"/>
      <c r="J7" s="981" t="s">
        <v>1823</v>
      </c>
      <c r="K7" s="981" t="s">
        <v>216</v>
      </c>
      <c r="L7" s="943" t="s">
        <v>1689</v>
      </c>
      <c r="M7" s="1070"/>
    </row>
    <row r="8" spans="1:13">
      <c r="A8" s="958"/>
      <c r="B8" s="961" t="s">
        <v>306</v>
      </c>
      <c r="C8" s="957">
        <f>C9+C10</f>
        <v>309101000</v>
      </c>
      <c r="D8" s="957">
        <f>D9+D10</f>
        <v>22600000</v>
      </c>
      <c r="E8" s="957">
        <f>E11+E38+E51+E55+E79+E82+E85+E106+E110+E111+E112+E113+E114+E115+E116+E117</f>
        <v>283070000</v>
      </c>
      <c r="F8" s="957"/>
      <c r="G8" s="957"/>
      <c r="H8" s="957">
        <f>H11+H38+H51+H55+H79+H82+H85+H106+H110+H111+H112+H113+H114+H115+H116+H117</f>
        <v>2931000</v>
      </c>
      <c r="I8" s="957">
        <f>I11+I38+I51+I55+I79+I82+I85+I106+I110+I111+I112+I113+I114+I115+I116+I117</f>
        <v>500000</v>
      </c>
      <c r="J8" s="942"/>
      <c r="K8" s="942"/>
      <c r="L8" s="942"/>
      <c r="M8" s="942"/>
    </row>
    <row r="9" spans="1:13">
      <c r="A9" s="961" t="s">
        <v>78</v>
      </c>
      <c r="B9" s="962" t="s">
        <v>216</v>
      </c>
      <c r="C9" s="957">
        <f>D9+E9+H9+I9</f>
        <v>22600000</v>
      </c>
      <c r="D9" s="957">
        <v>22600000</v>
      </c>
      <c r="E9" s="957"/>
      <c r="F9" s="957"/>
      <c r="G9" s="957"/>
      <c r="H9" s="957"/>
      <c r="I9" s="957"/>
      <c r="J9" s="942"/>
      <c r="K9" s="942"/>
      <c r="L9" s="942"/>
      <c r="M9" s="942"/>
    </row>
    <row r="10" spans="1:13">
      <c r="A10" s="961" t="s">
        <v>79</v>
      </c>
      <c r="B10" s="962" t="s">
        <v>229</v>
      </c>
      <c r="C10" s="957">
        <f>D10+E10+H10+I10</f>
        <v>286501000</v>
      </c>
      <c r="D10" s="957"/>
      <c r="E10" s="957">
        <f>E11+E38+E51+E55+E79+E82+E85+E106+E110+E111+E112+E113+E114+E115+E116+E117</f>
        <v>283070000</v>
      </c>
      <c r="F10" s="957">
        <f>F11+F38+F51+F55+F79+F82+F85+F106+F110+F111+F112+F113+F114+F115+F116+F117</f>
        <v>282170000</v>
      </c>
      <c r="G10" s="957">
        <f>G11+G38+G51+G55+G79+G82+G85+G106+G110+G111+G112+G113+G114+G115+G116+G117</f>
        <v>900000</v>
      </c>
      <c r="H10" s="957">
        <f>H11+H38+H51+H55+H79+H82+H85+H106+H110+H111+H112+H113+H114+H115+H116+H117</f>
        <v>2931000</v>
      </c>
      <c r="I10" s="957">
        <f>I11+I38+I51+I55+I79+I82+I85+I106+I110+I111+I112+I113+I114+I115+I116+I117</f>
        <v>500000</v>
      </c>
      <c r="J10" s="942"/>
      <c r="K10" s="942"/>
      <c r="L10" s="942"/>
      <c r="M10" s="942"/>
    </row>
    <row r="11" spans="1:13">
      <c r="A11" s="945" t="s">
        <v>84</v>
      </c>
      <c r="B11" s="947" t="s">
        <v>1706</v>
      </c>
      <c r="C11" s="957">
        <f>D11+E11+H11+I11</f>
        <v>37259043</v>
      </c>
      <c r="D11" s="946"/>
      <c r="E11" s="957">
        <f>SUM(E12:E37)</f>
        <v>37259043</v>
      </c>
      <c r="F11" s="957">
        <f t="shared" ref="F11:G11" si="0">SUM(F12:F37)</f>
        <v>36809043</v>
      </c>
      <c r="G11" s="957">
        <f t="shared" si="0"/>
        <v>450000</v>
      </c>
      <c r="H11" s="958"/>
      <c r="I11" s="958"/>
      <c r="J11" s="958"/>
      <c r="K11" s="958"/>
      <c r="L11" s="958"/>
      <c r="M11" s="942"/>
    </row>
    <row r="12" spans="1:13">
      <c r="A12" s="944">
        <v>1</v>
      </c>
      <c r="B12" s="942" t="s">
        <v>675</v>
      </c>
      <c r="C12" s="959">
        <f t="shared" ref="C12:C74" si="1">D12+E12+H12+I12</f>
        <v>9490530</v>
      </c>
      <c r="D12" s="946"/>
      <c r="E12" s="959">
        <f>F12+G12</f>
        <v>9490530</v>
      </c>
      <c r="F12" s="959">
        <v>9190530</v>
      </c>
      <c r="G12" s="959">
        <v>300000</v>
      </c>
      <c r="H12" s="959"/>
      <c r="I12" s="959"/>
      <c r="J12" s="959"/>
      <c r="K12" s="959"/>
      <c r="L12" s="959"/>
      <c r="M12" s="946"/>
    </row>
    <row r="13" spans="1:13">
      <c r="A13" s="944">
        <v>2</v>
      </c>
      <c r="B13" s="942" t="s">
        <v>1692</v>
      </c>
      <c r="C13" s="959">
        <f t="shared" si="1"/>
        <v>1569380</v>
      </c>
      <c r="D13" s="946"/>
      <c r="E13" s="959">
        <f t="shared" ref="E13:E37" si="2">F13+G13</f>
        <v>1569380</v>
      </c>
      <c r="F13" s="959">
        <v>1569380</v>
      </c>
      <c r="G13" s="959"/>
      <c r="H13" s="959"/>
      <c r="I13" s="959"/>
      <c r="J13" s="959"/>
      <c r="K13" s="959"/>
      <c r="L13" s="959"/>
      <c r="M13" s="946"/>
    </row>
    <row r="14" spans="1:13">
      <c r="A14" s="944">
        <v>3</v>
      </c>
      <c r="B14" s="942" t="s">
        <v>1693</v>
      </c>
      <c r="C14" s="959">
        <f t="shared" si="1"/>
        <v>10018335</v>
      </c>
      <c r="D14" s="946"/>
      <c r="E14" s="959">
        <f t="shared" si="2"/>
        <v>10018335</v>
      </c>
      <c r="F14" s="959">
        <v>9868335</v>
      </c>
      <c r="G14" s="959">
        <v>150000</v>
      </c>
      <c r="H14" s="959"/>
      <c r="I14" s="959"/>
      <c r="J14" s="959"/>
      <c r="K14" s="959"/>
      <c r="L14" s="959"/>
      <c r="M14" s="946"/>
    </row>
    <row r="15" spans="1:13">
      <c r="A15" s="944">
        <v>4</v>
      </c>
      <c r="B15" s="942" t="s">
        <v>1694</v>
      </c>
      <c r="C15" s="959">
        <f t="shared" si="1"/>
        <v>1608808</v>
      </c>
      <c r="D15" s="946"/>
      <c r="E15" s="959">
        <f t="shared" si="2"/>
        <v>1608808</v>
      </c>
      <c r="F15" s="959">
        <v>1608808</v>
      </c>
      <c r="G15" s="959"/>
      <c r="H15" s="959"/>
      <c r="I15" s="959"/>
      <c r="J15" s="959"/>
      <c r="K15" s="959"/>
      <c r="L15" s="959"/>
      <c r="M15" s="946"/>
    </row>
    <row r="16" spans="1:13">
      <c r="A16" s="944">
        <v>5</v>
      </c>
      <c r="B16" s="942" t="s">
        <v>310</v>
      </c>
      <c r="C16" s="959">
        <f t="shared" si="1"/>
        <v>651928</v>
      </c>
      <c r="D16" s="946"/>
      <c r="E16" s="959">
        <f t="shared" si="2"/>
        <v>651928</v>
      </c>
      <c r="F16" s="959">
        <v>651928</v>
      </c>
      <c r="G16" s="959"/>
      <c r="H16" s="959"/>
      <c r="I16" s="959"/>
      <c r="J16" s="959"/>
      <c r="K16" s="959"/>
      <c r="L16" s="959"/>
      <c r="M16" s="946"/>
    </row>
    <row r="17" spans="1:13">
      <c r="A17" s="944">
        <v>6</v>
      </c>
      <c r="B17" s="942" t="s">
        <v>1695</v>
      </c>
      <c r="C17" s="959">
        <f t="shared" si="1"/>
        <v>770407</v>
      </c>
      <c r="D17" s="946"/>
      <c r="E17" s="959">
        <f t="shared" si="2"/>
        <v>770407</v>
      </c>
      <c r="F17" s="959">
        <v>770407</v>
      </c>
      <c r="G17" s="959"/>
      <c r="H17" s="959"/>
      <c r="I17" s="959"/>
      <c r="J17" s="959"/>
      <c r="K17" s="959"/>
      <c r="L17" s="959"/>
      <c r="M17" s="946"/>
    </row>
    <row r="18" spans="1:13">
      <c r="A18" s="944">
        <v>7</v>
      </c>
      <c r="B18" s="942" t="s">
        <v>1696</v>
      </c>
      <c r="C18" s="959">
        <f t="shared" si="1"/>
        <v>624362</v>
      </c>
      <c r="D18" s="946"/>
      <c r="E18" s="959">
        <f t="shared" si="2"/>
        <v>624362</v>
      </c>
      <c r="F18" s="959">
        <v>624362</v>
      </c>
      <c r="G18" s="959"/>
      <c r="H18" s="959"/>
      <c r="I18" s="959"/>
      <c r="J18" s="959"/>
      <c r="K18" s="959"/>
      <c r="L18" s="959"/>
      <c r="M18" s="946"/>
    </row>
    <row r="19" spans="1:13">
      <c r="A19" s="944">
        <v>8</v>
      </c>
      <c r="B19" s="942" t="s">
        <v>15</v>
      </c>
      <c r="C19" s="959">
        <f t="shared" si="1"/>
        <v>433399</v>
      </c>
      <c r="D19" s="946"/>
      <c r="E19" s="959">
        <f t="shared" si="2"/>
        <v>433399</v>
      </c>
      <c r="F19" s="959">
        <v>433399</v>
      </c>
      <c r="G19" s="959"/>
      <c r="H19" s="959"/>
      <c r="I19" s="959"/>
      <c r="J19" s="959"/>
      <c r="K19" s="959"/>
      <c r="L19" s="959"/>
      <c r="M19" s="946"/>
    </row>
    <row r="20" spans="1:13">
      <c r="A20" s="944">
        <v>9</v>
      </c>
      <c r="B20" s="942" t="s">
        <v>1697</v>
      </c>
      <c r="C20" s="959">
        <f t="shared" si="1"/>
        <v>538276</v>
      </c>
      <c r="D20" s="946"/>
      <c r="E20" s="959">
        <f t="shared" si="2"/>
        <v>538276</v>
      </c>
      <c r="F20" s="959">
        <v>538276</v>
      </c>
      <c r="G20" s="959"/>
      <c r="H20" s="959"/>
      <c r="I20" s="959"/>
      <c r="J20" s="959"/>
      <c r="K20" s="959"/>
      <c r="L20" s="959"/>
      <c r="M20" s="946"/>
    </row>
    <row r="21" spans="1:13">
      <c r="A21" s="944">
        <v>10</v>
      </c>
      <c r="B21" s="942" t="s">
        <v>1698</v>
      </c>
      <c r="C21" s="959">
        <f t="shared" si="1"/>
        <v>1183419</v>
      </c>
      <c r="D21" s="946"/>
      <c r="E21" s="959">
        <f t="shared" si="2"/>
        <v>1183419</v>
      </c>
      <c r="F21" s="959">
        <v>1183419</v>
      </c>
      <c r="G21" s="959"/>
      <c r="H21" s="959"/>
      <c r="I21" s="959"/>
      <c r="J21" s="959"/>
      <c r="K21" s="959"/>
      <c r="L21" s="959"/>
      <c r="M21" s="946"/>
    </row>
    <row r="22" spans="1:13">
      <c r="A22" s="944">
        <v>11</v>
      </c>
      <c r="B22" s="942" t="s">
        <v>1699</v>
      </c>
      <c r="C22" s="959">
        <f t="shared" si="1"/>
        <v>267100</v>
      </c>
      <c r="D22" s="946"/>
      <c r="E22" s="959">
        <f t="shared" si="2"/>
        <v>267100</v>
      </c>
      <c r="F22" s="959">
        <v>267100</v>
      </c>
      <c r="G22" s="959"/>
      <c r="H22" s="959"/>
      <c r="I22" s="959"/>
      <c r="J22" s="959"/>
      <c r="K22" s="959"/>
      <c r="L22" s="959"/>
      <c r="M22" s="946"/>
    </row>
    <row r="23" spans="1:13">
      <c r="A23" s="944">
        <v>12</v>
      </c>
      <c r="B23" s="942" t="s">
        <v>308</v>
      </c>
      <c r="C23" s="959">
        <f t="shared" si="1"/>
        <v>147600</v>
      </c>
      <c r="D23" s="946"/>
      <c r="E23" s="959">
        <f t="shared" si="2"/>
        <v>147600</v>
      </c>
      <c r="F23" s="959">
        <v>147600</v>
      </c>
      <c r="G23" s="959"/>
      <c r="H23" s="959"/>
      <c r="I23" s="959"/>
      <c r="J23" s="959"/>
      <c r="K23" s="959"/>
      <c r="L23" s="959"/>
      <c r="M23" s="946"/>
    </row>
    <row r="24" spans="1:13">
      <c r="A24" s="944">
        <v>13</v>
      </c>
      <c r="B24" s="942" t="s">
        <v>798</v>
      </c>
      <c r="C24" s="959">
        <f t="shared" si="1"/>
        <v>158600</v>
      </c>
      <c r="D24" s="946"/>
      <c r="E24" s="959">
        <f t="shared" si="2"/>
        <v>158600</v>
      </c>
      <c r="F24" s="959">
        <v>158600</v>
      </c>
      <c r="G24" s="959"/>
      <c r="H24" s="959"/>
      <c r="I24" s="959"/>
      <c r="J24" s="959"/>
      <c r="K24" s="959"/>
      <c r="L24" s="959"/>
      <c r="M24" s="946"/>
    </row>
    <row r="25" spans="1:13">
      <c r="A25" s="944">
        <v>14</v>
      </c>
      <c r="B25" s="942" t="s">
        <v>441</v>
      </c>
      <c r="C25" s="959">
        <f t="shared" si="1"/>
        <v>143100</v>
      </c>
      <c r="D25" s="946"/>
      <c r="E25" s="959">
        <f t="shared" si="2"/>
        <v>143100</v>
      </c>
      <c r="F25" s="959">
        <v>143100</v>
      </c>
      <c r="G25" s="959"/>
      <c r="H25" s="959"/>
      <c r="I25" s="959"/>
      <c r="J25" s="959"/>
      <c r="K25" s="959"/>
      <c r="L25" s="959"/>
      <c r="M25" s="946"/>
    </row>
    <row r="26" spans="1:13">
      <c r="A26" s="944">
        <v>15</v>
      </c>
      <c r="B26" s="942" t="s">
        <v>1700</v>
      </c>
      <c r="C26" s="959">
        <f t="shared" si="1"/>
        <v>163300</v>
      </c>
      <c r="D26" s="946"/>
      <c r="E26" s="959">
        <f t="shared" si="2"/>
        <v>163300</v>
      </c>
      <c r="F26" s="959">
        <v>163300</v>
      </c>
      <c r="G26" s="959"/>
      <c r="H26" s="959"/>
      <c r="I26" s="959"/>
      <c r="J26" s="959"/>
      <c r="K26" s="959"/>
      <c r="L26" s="959"/>
      <c r="M26" s="946"/>
    </row>
    <row r="27" spans="1:13">
      <c r="A27" s="944">
        <v>16</v>
      </c>
      <c r="B27" s="942" t="s">
        <v>98</v>
      </c>
      <c r="C27" s="959">
        <f t="shared" si="1"/>
        <v>336700</v>
      </c>
      <c r="D27" s="946"/>
      <c r="E27" s="959">
        <f t="shared" si="2"/>
        <v>336700</v>
      </c>
      <c r="F27" s="959">
        <v>336700</v>
      </c>
      <c r="G27" s="959"/>
      <c r="H27" s="959"/>
      <c r="I27" s="959"/>
      <c r="J27" s="959"/>
      <c r="K27" s="959"/>
      <c r="L27" s="959"/>
      <c r="M27" s="946"/>
    </row>
    <row r="28" spans="1:13">
      <c r="A28" s="944">
        <v>17</v>
      </c>
      <c r="B28" s="942" t="s">
        <v>148</v>
      </c>
      <c r="C28" s="959">
        <f t="shared" si="1"/>
        <v>93600</v>
      </c>
      <c r="D28" s="946"/>
      <c r="E28" s="959">
        <f t="shared" si="2"/>
        <v>93600</v>
      </c>
      <c r="F28" s="959">
        <v>93600</v>
      </c>
      <c r="G28" s="959"/>
      <c r="H28" s="959"/>
      <c r="I28" s="959"/>
      <c r="J28" s="959"/>
      <c r="K28" s="959"/>
      <c r="L28" s="959"/>
      <c r="M28" s="946"/>
    </row>
    <row r="29" spans="1:13">
      <c r="A29" s="944">
        <v>18</v>
      </c>
      <c r="B29" s="942" t="s">
        <v>588</v>
      </c>
      <c r="C29" s="959">
        <f t="shared" si="1"/>
        <v>59600</v>
      </c>
      <c r="D29" s="946"/>
      <c r="E29" s="959">
        <f t="shared" si="2"/>
        <v>59600</v>
      </c>
      <c r="F29" s="959">
        <v>59600</v>
      </c>
      <c r="G29" s="959"/>
      <c r="H29" s="959"/>
      <c r="I29" s="959"/>
      <c r="J29" s="959"/>
      <c r="K29" s="959"/>
      <c r="L29" s="959"/>
      <c r="M29" s="946"/>
    </row>
    <row r="30" spans="1:13">
      <c r="A30" s="944">
        <v>19</v>
      </c>
      <c r="B30" s="942" t="s">
        <v>671</v>
      </c>
      <c r="C30" s="959">
        <f t="shared" si="1"/>
        <v>95600</v>
      </c>
      <c r="D30" s="946"/>
      <c r="E30" s="959">
        <f t="shared" si="2"/>
        <v>95600</v>
      </c>
      <c r="F30" s="959">
        <v>95600</v>
      </c>
      <c r="G30" s="959"/>
      <c r="H30" s="959"/>
      <c r="I30" s="959"/>
      <c r="J30" s="959"/>
      <c r="K30" s="959"/>
      <c r="L30" s="959"/>
      <c r="M30" s="946"/>
    </row>
    <row r="31" spans="1:13">
      <c r="A31" s="944">
        <v>20</v>
      </c>
      <c r="B31" s="942" t="s">
        <v>1701</v>
      </c>
      <c r="C31" s="959">
        <f t="shared" si="1"/>
        <v>57600</v>
      </c>
      <c r="D31" s="946"/>
      <c r="E31" s="959">
        <f t="shared" si="2"/>
        <v>57600</v>
      </c>
      <c r="F31" s="959">
        <v>57600</v>
      </c>
      <c r="G31" s="959"/>
      <c r="H31" s="959"/>
      <c r="I31" s="959"/>
      <c r="J31" s="959"/>
      <c r="K31" s="959"/>
      <c r="L31" s="959"/>
      <c r="M31" s="946"/>
    </row>
    <row r="32" spans="1:13">
      <c r="A32" s="944">
        <v>21</v>
      </c>
      <c r="B32" s="942" t="s">
        <v>1702</v>
      </c>
      <c r="C32" s="959">
        <f t="shared" si="1"/>
        <v>1200000</v>
      </c>
      <c r="D32" s="946"/>
      <c r="E32" s="959">
        <f t="shared" si="2"/>
        <v>1200000</v>
      </c>
      <c r="F32" s="959">
        <v>1200000</v>
      </c>
      <c r="G32" s="959"/>
      <c r="H32" s="959"/>
      <c r="I32" s="959"/>
      <c r="J32" s="959"/>
      <c r="K32" s="959"/>
      <c r="L32" s="959"/>
      <c r="M32" s="946"/>
    </row>
    <row r="33" spans="1:13">
      <c r="A33" s="944">
        <v>22</v>
      </c>
      <c r="B33" s="942" t="s">
        <v>1703</v>
      </c>
      <c r="C33" s="959">
        <f t="shared" si="1"/>
        <v>40000</v>
      </c>
      <c r="D33" s="946"/>
      <c r="E33" s="959">
        <f t="shared" si="2"/>
        <v>40000</v>
      </c>
      <c r="F33" s="959">
        <v>40000</v>
      </c>
      <c r="G33" s="959"/>
      <c r="H33" s="959"/>
      <c r="I33" s="959"/>
      <c r="J33" s="959"/>
      <c r="K33" s="959"/>
      <c r="L33" s="959"/>
      <c r="M33" s="946"/>
    </row>
    <row r="34" spans="1:13">
      <c r="A34" s="944">
        <v>23</v>
      </c>
      <c r="B34" s="942" t="s">
        <v>1704</v>
      </c>
      <c r="C34" s="959">
        <f t="shared" si="1"/>
        <v>144399</v>
      </c>
      <c r="D34" s="946"/>
      <c r="E34" s="959">
        <f t="shared" si="2"/>
        <v>144399</v>
      </c>
      <c r="F34" s="959">
        <v>144399</v>
      </c>
      <c r="G34" s="959"/>
      <c r="H34" s="959"/>
      <c r="I34" s="959"/>
      <c r="J34" s="959"/>
      <c r="K34" s="959"/>
      <c r="L34" s="959"/>
      <c r="M34" s="946"/>
    </row>
    <row r="35" spans="1:13">
      <c r="A35" s="944">
        <v>24</v>
      </c>
      <c r="B35" s="942" t="s">
        <v>1705</v>
      </c>
      <c r="C35" s="959">
        <f t="shared" si="1"/>
        <v>163000</v>
      </c>
      <c r="D35" s="946"/>
      <c r="E35" s="959">
        <f t="shared" si="2"/>
        <v>163000</v>
      </c>
      <c r="F35" s="959">
        <v>163000</v>
      </c>
      <c r="G35" s="959"/>
      <c r="H35" s="959"/>
      <c r="I35" s="959"/>
      <c r="J35" s="959"/>
      <c r="K35" s="959"/>
      <c r="L35" s="959"/>
      <c r="M35" s="946"/>
    </row>
    <row r="36" spans="1:13">
      <c r="A36" s="944">
        <v>25</v>
      </c>
      <c r="B36" s="942" t="s">
        <v>1790</v>
      </c>
      <c r="C36" s="959">
        <f t="shared" si="1"/>
        <v>2500000</v>
      </c>
      <c r="D36" s="946"/>
      <c r="E36" s="959">
        <f t="shared" si="2"/>
        <v>2500000</v>
      </c>
      <c r="F36" s="959">
        <v>2500000</v>
      </c>
      <c r="G36" s="959"/>
      <c r="H36" s="959"/>
      <c r="I36" s="959"/>
      <c r="J36" s="959"/>
      <c r="K36" s="959"/>
      <c r="L36" s="959"/>
      <c r="M36" s="946"/>
    </row>
    <row r="37" spans="1:13">
      <c r="A37" s="944">
        <v>26</v>
      </c>
      <c r="B37" s="942" t="s">
        <v>1189</v>
      </c>
      <c r="C37" s="959">
        <f t="shared" si="1"/>
        <v>4800000</v>
      </c>
      <c r="D37" s="946"/>
      <c r="E37" s="959">
        <f t="shared" si="2"/>
        <v>4800000</v>
      </c>
      <c r="F37" s="959">
        <v>4800000</v>
      </c>
      <c r="G37" s="959"/>
      <c r="H37" s="959"/>
      <c r="I37" s="959"/>
      <c r="J37" s="959"/>
      <c r="K37" s="959"/>
      <c r="L37" s="959"/>
      <c r="M37" s="946"/>
    </row>
    <row r="38" spans="1:13">
      <c r="A38" s="945" t="s">
        <v>85</v>
      </c>
      <c r="B38" s="949" t="s">
        <v>1643</v>
      </c>
      <c r="C38" s="957">
        <f t="shared" si="1"/>
        <v>52751384</v>
      </c>
      <c r="D38" s="948"/>
      <c r="E38" s="957">
        <f>SUM(E39:E50)</f>
        <v>52751384</v>
      </c>
      <c r="F38" s="957">
        <f t="shared" ref="F38:G38" si="3">SUM(F39:F50)</f>
        <v>52751384</v>
      </c>
      <c r="G38" s="957">
        <f t="shared" si="3"/>
        <v>0</v>
      </c>
      <c r="H38" s="957"/>
      <c r="I38" s="959"/>
      <c r="J38" s="959"/>
      <c r="K38" s="959"/>
      <c r="L38" s="959"/>
      <c r="M38" s="946"/>
    </row>
    <row r="39" spans="1:13">
      <c r="A39" s="944">
        <v>1</v>
      </c>
      <c r="B39" s="942" t="s">
        <v>1707</v>
      </c>
      <c r="C39" s="959">
        <f t="shared" si="1"/>
        <v>45000000</v>
      </c>
      <c r="D39" s="946"/>
      <c r="E39" s="959">
        <f t="shared" ref="E39:E54" si="4">F39+G39</f>
        <v>45000000</v>
      </c>
      <c r="F39" s="959">
        <v>45000000</v>
      </c>
      <c r="G39" s="959"/>
      <c r="H39" s="959"/>
      <c r="I39" s="959"/>
      <c r="J39" s="959"/>
      <c r="K39" s="959"/>
      <c r="L39" s="959"/>
      <c r="M39" s="946"/>
    </row>
    <row r="40" spans="1:13">
      <c r="A40" s="944">
        <v>2</v>
      </c>
      <c r="B40" s="942" t="s">
        <v>148</v>
      </c>
      <c r="C40" s="959">
        <f t="shared" si="1"/>
        <v>273000</v>
      </c>
      <c r="D40" s="946"/>
      <c r="E40" s="959">
        <f t="shared" si="4"/>
        <v>273000</v>
      </c>
      <c r="F40" s="959">
        <v>273000</v>
      </c>
      <c r="G40" s="959"/>
      <c r="H40" s="959"/>
      <c r="I40" s="959"/>
      <c r="J40" s="959"/>
      <c r="K40" s="959"/>
      <c r="L40" s="959"/>
      <c r="M40" s="946"/>
    </row>
    <row r="41" spans="1:13">
      <c r="A41" s="944">
        <v>3</v>
      </c>
      <c r="B41" s="942" t="s">
        <v>213</v>
      </c>
      <c r="C41" s="959">
        <f t="shared" si="1"/>
        <v>1200000</v>
      </c>
      <c r="D41" s="946"/>
      <c r="E41" s="959">
        <f t="shared" si="4"/>
        <v>1200000</v>
      </c>
      <c r="F41" s="959">
        <v>1200000</v>
      </c>
      <c r="G41" s="959"/>
      <c r="H41" s="959"/>
      <c r="I41" s="959"/>
      <c r="J41" s="959"/>
      <c r="K41" s="959"/>
      <c r="L41" s="959"/>
      <c r="M41" s="946"/>
    </row>
    <row r="42" spans="1:13">
      <c r="A42" s="944">
        <v>4</v>
      </c>
      <c r="B42" s="942" t="s">
        <v>1708</v>
      </c>
      <c r="C42" s="959">
        <f t="shared" si="1"/>
        <v>1900000</v>
      </c>
      <c r="D42" s="946"/>
      <c r="E42" s="959">
        <f t="shared" si="4"/>
        <v>1900000</v>
      </c>
      <c r="F42" s="959">
        <v>1900000</v>
      </c>
      <c r="G42" s="959"/>
      <c r="H42" s="959"/>
      <c r="I42" s="959"/>
      <c r="J42" s="959"/>
      <c r="K42" s="959"/>
      <c r="L42" s="959"/>
      <c r="M42" s="946"/>
    </row>
    <row r="43" spans="1:13">
      <c r="A43" s="944">
        <v>5</v>
      </c>
      <c r="B43" s="942" t="s">
        <v>523</v>
      </c>
      <c r="C43" s="959">
        <f t="shared" si="1"/>
        <v>1606000</v>
      </c>
      <c r="D43" s="946"/>
      <c r="E43" s="959">
        <f t="shared" si="4"/>
        <v>1606000</v>
      </c>
      <c r="F43" s="959">
        <v>1606000</v>
      </c>
      <c r="G43" s="959"/>
      <c r="H43" s="959"/>
      <c r="I43" s="959"/>
      <c r="J43" s="959"/>
      <c r="K43" s="959"/>
      <c r="L43" s="959"/>
      <c r="M43" s="946"/>
    </row>
    <row r="44" spans="1:13">
      <c r="A44" s="944">
        <v>6</v>
      </c>
      <c r="B44" s="942" t="s">
        <v>588</v>
      </c>
      <c r="C44" s="959">
        <f t="shared" si="1"/>
        <v>133600</v>
      </c>
      <c r="D44" s="946"/>
      <c r="E44" s="959">
        <f t="shared" si="4"/>
        <v>133600</v>
      </c>
      <c r="F44" s="959">
        <v>133600</v>
      </c>
      <c r="G44" s="959"/>
      <c r="H44" s="959"/>
      <c r="I44" s="959"/>
      <c r="J44" s="959"/>
      <c r="K44" s="959"/>
      <c r="L44" s="959"/>
      <c r="M44" s="946"/>
    </row>
    <row r="45" spans="1:13">
      <c r="A45" s="944">
        <v>7</v>
      </c>
      <c r="B45" s="942" t="s">
        <v>671</v>
      </c>
      <c r="C45" s="959">
        <f t="shared" si="1"/>
        <v>435043</v>
      </c>
      <c r="D45" s="946"/>
      <c r="E45" s="959">
        <f t="shared" si="4"/>
        <v>435043</v>
      </c>
      <c r="F45" s="959">
        <v>435043</v>
      </c>
      <c r="G45" s="959"/>
      <c r="H45" s="959"/>
      <c r="I45" s="959"/>
      <c r="J45" s="959"/>
      <c r="K45" s="959"/>
      <c r="L45" s="959"/>
      <c r="M45" s="946"/>
    </row>
    <row r="46" spans="1:13">
      <c r="A46" s="944">
        <v>8</v>
      </c>
      <c r="B46" s="942" t="s">
        <v>672</v>
      </c>
      <c r="C46" s="959">
        <f t="shared" si="1"/>
        <v>1562997</v>
      </c>
      <c r="D46" s="946"/>
      <c r="E46" s="959">
        <f t="shared" si="4"/>
        <v>1562997</v>
      </c>
      <c r="F46" s="959">
        <v>1562997</v>
      </c>
      <c r="G46" s="959"/>
      <c r="H46" s="959"/>
      <c r="I46" s="959"/>
      <c r="J46" s="959"/>
      <c r="K46" s="959"/>
      <c r="L46" s="959"/>
      <c r="M46" s="946"/>
    </row>
    <row r="47" spans="1:13">
      <c r="A47" s="944">
        <v>9</v>
      </c>
      <c r="B47" s="942" t="s">
        <v>1709</v>
      </c>
      <c r="C47" s="959">
        <f t="shared" si="1"/>
        <v>327884</v>
      </c>
      <c r="D47" s="946"/>
      <c r="E47" s="959">
        <f t="shared" si="4"/>
        <v>327884</v>
      </c>
      <c r="F47" s="959">
        <v>327884</v>
      </c>
      <c r="G47" s="959"/>
      <c r="H47" s="959"/>
      <c r="I47" s="959"/>
      <c r="J47" s="959"/>
      <c r="K47" s="959"/>
      <c r="L47" s="959"/>
      <c r="M47" s="946"/>
    </row>
    <row r="48" spans="1:13">
      <c r="A48" s="944">
        <v>10</v>
      </c>
      <c r="B48" s="942" t="s">
        <v>196</v>
      </c>
      <c r="C48" s="959">
        <f t="shared" si="1"/>
        <v>150000</v>
      </c>
      <c r="D48" s="946"/>
      <c r="E48" s="959">
        <f t="shared" si="4"/>
        <v>150000</v>
      </c>
      <c r="F48" s="959">
        <v>150000</v>
      </c>
      <c r="G48" s="959"/>
      <c r="H48" s="959"/>
      <c r="I48" s="959"/>
      <c r="J48" s="959"/>
      <c r="K48" s="959"/>
      <c r="L48" s="959"/>
      <c r="M48" s="946"/>
    </row>
    <row r="49" spans="1:13">
      <c r="A49" s="944">
        <v>11</v>
      </c>
      <c r="B49" s="942" t="s">
        <v>677</v>
      </c>
      <c r="C49" s="959">
        <f t="shared" si="1"/>
        <v>50000</v>
      </c>
      <c r="D49" s="946"/>
      <c r="E49" s="959">
        <f t="shared" si="4"/>
        <v>50000</v>
      </c>
      <c r="F49" s="959">
        <v>50000</v>
      </c>
      <c r="G49" s="959"/>
      <c r="H49" s="959"/>
      <c r="I49" s="959"/>
      <c r="J49" s="959"/>
      <c r="K49" s="959"/>
      <c r="L49" s="959"/>
      <c r="M49" s="946"/>
    </row>
    <row r="50" spans="1:13" ht="37.5">
      <c r="A50" s="944">
        <v>12</v>
      </c>
      <c r="B50" s="950" t="s">
        <v>1791</v>
      </c>
      <c r="C50" s="959">
        <f t="shared" si="1"/>
        <v>112860</v>
      </c>
      <c r="D50" s="946"/>
      <c r="E50" s="959">
        <f t="shared" si="4"/>
        <v>112860</v>
      </c>
      <c r="F50" s="959">
        <v>112860</v>
      </c>
      <c r="G50" s="959"/>
      <c r="H50" s="959"/>
      <c r="I50" s="959"/>
      <c r="J50" s="959"/>
      <c r="K50" s="959"/>
      <c r="L50" s="959"/>
      <c r="M50" s="946"/>
    </row>
    <row r="51" spans="1:13">
      <c r="A51" s="945" t="s">
        <v>565</v>
      </c>
      <c r="B51" s="949" t="s">
        <v>579</v>
      </c>
      <c r="C51" s="957">
        <f t="shared" si="1"/>
        <v>20000000</v>
      </c>
      <c r="D51" s="948"/>
      <c r="E51" s="957">
        <f>SUM(E52:E54)</f>
        <v>20000000</v>
      </c>
      <c r="F51" s="957">
        <f>SUM(F52:F54)</f>
        <v>20000000</v>
      </c>
      <c r="G51" s="957"/>
      <c r="H51" s="957"/>
      <c r="I51" s="959"/>
      <c r="J51" s="959"/>
      <c r="K51" s="959"/>
      <c r="L51" s="959"/>
      <c r="M51" s="946"/>
    </row>
    <row r="52" spans="1:13" ht="37.5">
      <c r="A52" s="944">
        <v>1</v>
      </c>
      <c r="B52" s="950" t="s">
        <v>1792</v>
      </c>
      <c r="C52" s="959">
        <f t="shared" si="1"/>
        <v>14500000</v>
      </c>
      <c r="D52" s="946"/>
      <c r="E52" s="959">
        <f t="shared" si="4"/>
        <v>14500000</v>
      </c>
      <c r="F52" s="959">
        <v>14500000</v>
      </c>
      <c r="G52" s="959"/>
      <c r="H52" s="959"/>
      <c r="I52" s="959"/>
      <c r="J52" s="959"/>
      <c r="K52" s="959"/>
      <c r="L52" s="959"/>
      <c r="M52" s="946"/>
    </row>
    <row r="53" spans="1:13" ht="78.75" customHeight="1">
      <c r="A53" s="944">
        <v>2</v>
      </c>
      <c r="B53" s="950" t="s">
        <v>1793</v>
      </c>
      <c r="C53" s="959">
        <f t="shared" si="1"/>
        <v>1000000</v>
      </c>
      <c r="D53" s="946"/>
      <c r="E53" s="959">
        <f t="shared" si="4"/>
        <v>1000000</v>
      </c>
      <c r="F53" s="959">
        <v>1000000</v>
      </c>
      <c r="G53" s="959"/>
      <c r="H53" s="959"/>
      <c r="I53" s="959"/>
      <c r="J53" s="959"/>
      <c r="K53" s="959"/>
      <c r="L53" s="959"/>
      <c r="M53" s="946"/>
    </row>
    <row r="54" spans="1:13">
      <c r="A54" s="944">
        <v>3</v>
      </c>
      <c r="B54" s="942" t="s">
        <v>1710</v>
      </c>
      <c r="C54" s="959">
        <f t="shared" si="1"/>
        <v>4500000</v>
      </c>
      <c r="D54" s="946"/>
      <c r="E54" s="959">
        <f t="shared" si="4"/>
        <v>4500000</v>
      </c>
      <c r="F54" s="959">
        <v>4500000</v>
      </c>
      <c r="G54" s="959"/>
      <c r="H54" s="959"/>
      <c r="I54" s="959"/>
      <c r="J54" s="959"/>
      <c r="K54" s="959"/>
      <c r="L54" s="959"/>
      <c r="M54" s="946"/>
    </row>
    <row r="55" spans="1:13">
      <c r="A55" s="945" t="s">
        <v>562</v>
      </c>
      <c r="B55" s="949" t="s">
        <v>1711</v>
      </c>
      <c r="C55" s="957">
        <f t="shared" si="1"/>
        <v>127671303</v>
      </c>
      <c r="D55" s="948"/>
      <c r="E55" s="957">
        <f>E56+E57</f>
        <v>127671303</v>
      </c>
      <c r="F55" s="957">
        <f t="shared" ref="F55:G55" si="5">F56+F57</f>
        <v>127671303</v>
      </c>
      <c r="G55" s="957">
        <f t="shared" si="5"/>
        <v>0</v>
      </c>
      <c r="H55" s="959"/>
      <c r="I55" s="959"/>
      <c r="J55" s="959"/>
      <c r="K55" s="959"/>
      <c r="L55" s="959"/>
      <c r="M55" s="946"/>
    </row>
    <row r="56" spans="1:13">
      <c r="A56" s="944">
        <v>1</v>
      </c>
      <c r="B56" s="942" t="s">
        <v>309</v>
      </c>
      <c r="C56" s="959">
        <f t="shared" si="1"/>
        <v>915303</v>
      </c>
      <c r="D56" s="946"/>
      <c r="E56" s="959">
        <f>F56+G56</f>
        <v>915303</v>
      </c>
      <c r="F56" s="959">
        <v>915303</v>
      </c>
      <c r="G56" s="959"/>
      <c r="H56" s="959"/>
      <c r="I56" s="959"/>
      <c r="J56" s="959"/>
      <c r="K56" s="959"/>
      <c r="L56" s="959"/>
      <c r="M56" s="946"/>
    </row>
    <row r="57" spans="1:13" ht="43.5" customHeight="1">
      <c r="A57" s="944">
        <v>2</v>
      </c>
      <c r="B57" s="950" t="s">
        <v>1822</v>
      </c>
      <c r="C57" s="959">
        <f t="shared" si="1"/>
        <v>126756000</v>
      </c>
      <c r="D57" s="946"/>
      <c r="E57" s="959">
        <f>E58+E76+E77+E78</f>
        <v>126756000</v>
      </c>
      <c r="F57" s="959">
        <f>F58+F76+F77+F78</f>
        <v>126756000</v>
      </c>
      <c r="G57" s="959"/>
      <c r="H57" s="959"/>
      <c r="I57" s="959"/>
      <c r="J57" s="959"/>
      <c r="K57" s="959"/>
      <c r="L57" s="959"/>
      <c r="M57" s="946"/>
    </row>
    <row r="58" spans="1:13" ht="20.25" customHeight="1">
      <c r="A58" s="944" t="s">
        <v>454</v>
      </c>
      <c r="B58" s="951" t="s">
        <v>1712</v>
      </c>
      <c r="C58" s="959">
        <f t="shared" si="1"/>
        <v>82862000</v>
      </c>
      <c r="D58" s="946"/>
      <c r="E58" s="959">
        <f>SUM(E59:E75)</f>
        <v>82862000</v>
      </c>
      <c r="F58" s="959">
        <f>SUM(F59:F75)</f>
        <v>82862000</v>
      </c>
      <c r="G58" s="959"/>
      <c r="H58" s="959"/>
      <c r="I58" s="959"/>
      <c r="J58" s="959"/>
      <c r="K58" s="959"/>
      <c r="L58" s="959"/>
      <c r="M58" s="946"/>
    </row>
    <row r="59" spans="1:13">
      <c r="A59" s="944"/>
      <c r="B59" s="952" t="s">
        <v>1794</v>
      </c>
      <c r="C59" s="959">
        <f t="shared" si="1"/>
        <v>7677702</v>
      </c>
      <c r="D59" s="946"/>
      <c r="E59" s="959">
        <v>7677702</v>
      </c>
      <c r="F59" s="959">
        <v>7677702</v>
      </c>
      <c r="G59" s="959"/>
      <c r="H59" s="959"/>
      <c r="I59" s="959"/>
      <c r="J59" s="959"/>
      <c r="K59" s="959"/>
      <c r="L59" s="959"/>
      <c r="M59" s="946"/>
    </row>
    <row r="60" spans="1:13">
      <c r="A60" s="944"/>
      <c r="B60" s="952" t="s">
        <v>1795</v>
      </c>
      <c r="C60" s="959">
        <f t="shared" si="1"/>
        <v>5740575</v>
      </c>
      <c r="D60" s="946"/>
      <c r="E60" s="959">
        <v>5740575</v>
      </c>
      <c r="F60" s="959">
        <v>5740575</v>
      </c>
      <c r="G60" s="959"/>
      <c r="H60" s="959"/>
      <c r="I60" s="959"/>
      <c r="J60" s="959"/>
      <c r="K60" s="959"/>
      <c r="L60" s="959"/>
      <c r="M60" s="946"/>
    </row>
    <row r="61" spans="1:13">
      <c r="A61" s="944"/>
      <c r="B61" s="952" t="s">
        <v>1796</v>
      </c>
      <c r="C61" s="959">
        <f t="shared" si="1"/>
        <v>4649245</v>
      </c>
      <c r="D61" s="946"/>
      <c r="E61" s="959">
        <v>4649245</v>
      </c>
      <c r="F61" s="959">
        <v>4649245</v>
      </c>
      <c r="G61" s="959"/>
      <c r="H61" s="959"/>
      <c r="I61" s="959"/>
      <c r="J61" s="959"/>
      <c r="K61" s="959"/>
      <c r="L61" s="959"/>
      <c r="M61" s="946"/>
    </row>
    <row r="62" spans="1:13">
      <c r="A62" s="944"/>
      <c r="B62" s="952" t="s">
        <v>1797</v>
      </c>
      <c r="C62" s="959">
        <f t="shared" si="1"/>
        <v>6148145</v>
      </c>
      <c r="D62" s="946"/>
      <c r="E62" s="959">
        <v>6148145</v>
      </c>
      <c r="F62" s="959">
        <v>6148145</v>
      </c>
      <c r="G62" s="959"/>
      <c r="H62" s="959"/>
      <c r="I62" s="959"/>
      <c r="J62" s="959"/>
      <c r="K62" s="959"/>
      <c r="L62" s="959"/>
      <c r="M62" s="946"/>
    </row>
    <row r="63" spans="1:13">
      <c r="A63" s="944"/>
      <c r="B63" s="952" t="s">
        <v>1798</v>
      </c>
      <c r="C63" s="959">
        <f t="shared" si="1"/>
        <v>7515466</v>
      </c>
      <c r="D63" s="946"/>
      <c r="E63" s="959">
        <v>7515466</v>
      </c>
      <c r="F63" s="959">
        <v>7515466</v>
      </c>
      <c r="G63" s="959"/>
      <c r="H63" s="959"/>
      <c r="I63" s="959"/>
      <c r="J63" s="959"/>
      <c r="K63" s="959"/>
      <c r="L63" s="959"/>
      <c r="M63" s="946"/>
    </row>
    <row r="64" spans="1:13">
      <c r="A64" s="944"/>
      <c r="B64" s="952" t="s">
        <v>1799</v>
      </c>
      <c r="C64" s="959">
        <f t="shared" si="1"/>
        <v>6325912</v>
      </c>
      <c r="D64" s="946"/>
      <c r="E64" s="959">
        <v>6325912</v>
      </c>
      <c r="F64" s="959">
        <v>6325912</v>
      </c>
      <c r="G64" s="959"/>
      <c r="H64" s="959"/>
      <c r="I64" s="959"/>
      <c r="J64" s="959"/>
      <c r="K64" s="959"/>
      <c r="L64" s="959"/>
      <c r="M64" s="946"/>
    </row>
    <row r="65" spans="1:13">
      <c r="A65" s="944"/>
      <c r="B65" s="952" t="s">
        <v>1800</v>
      </c>
      <c r="C65" s="959">
        <f t="shared" si="1"/>
        <v>7781511</v>
      </c>
      <c r="D65" s="946"/>
      <c r="E65" s="959">
        <v>7781511</v>
      </c>
      <c r="F65" s="959">
        <v>7781511</v>
      </c>
      <c r="G65" s="959"/>
      <c r="H65" s="959"/>
      <c r="I65" s="959"/>
      <c r="J65" s="959"/>
      <c r="K65" s="959"/>
      <c r="L65" s="959"/>
      <c r="M65" s="946"/>
    </row>
    <row r="66" spans="1:13">
      <c r="A66" s="944"/>
      <c r="B66" s="953" t="s">
        <v>1801</v>
      </c>
      <c r="C66" s="959">
        <f t="shared" si="1"/>
        <v>4242862</v>
      </c>
      <c r="D66" s="946"/>
      <c r="E66" s="959">
        <v>4242862</v>
      </c>
      <c r="F66" s="959">
        <v>4242862</v>
      </c>
      <c r="G66" s="959"/>
      <c r="H66" s="959"/>
      <c r="I66" s="959"/>
      <c r="J66" s="959"/>
      <c r="K66" s="959"/>
      <c r="L66" s="959"/>
      <c r="M66" s="946"/>
    </row>
    <row r="67" spans="1:13">
      <c r="A67" s="944"/>
      <c r="B67" s="953" t="s">
        <v>1802</v>
      </c>
      <c r="C67" s="959">
        <f t="shared" si="1"/>
        <v>4354991</v>
      </c>
      <c r="D67" s="946"/>
      <c r="E67" s="959">
        <v>4354991</v>
      </c>
      <c r="F67" s="959">
        <v>4354991</v>
      </c>
      <c r="G67" s="959"/>
      <c r="H67" s="959"/>
      <c r="I67" s="959"/>
      <c r="J67" s="959"/>
      <c r="K67" s="959"/>
      <c r="L67" s="959"/>
      <c r="M67" s="946"/>
    </row>
    <row r="68" spans="1:13">
      <c r="A68" s="944"/>
      <c r="B68" s="953" t="s">
        <v>1803</v>
      </c>
      <c r="C68" s="959">
        <f t="shared" si="1"/>
        <v>5556790</v>
      </c>
      <c r="D68" s="946"/>
      <c r="E68" s="959">
        <v>5556790</v>
      </c>
      <c r="F68" s="959">
        <v>5556790</v>
      </c>
      <c r="G68" s="959"/>
      <c r="H68" s="959"/>
      <c r="I68" s="959"/>
      <c r="J68" s="959"/>
      <c r="K68" s="959"/>
      <c r="L68" s="959"/>
      <c r="M68" s="946"/>
    </row>
    <row r="69" spans="1:13">
      <c r="A69" s="944"/>
      <c r="B69" s="954" t="s">
        <v>1809</v>
      </c>
      <c r="C69" s="959">
        <f t="shared" si="1"/>
        <v>4324331</v>
      </c>
      <c r="D69" s="946"/>
      <c r="E69" s="959">
        <v>4324331</v>
      </c>
      <c r="F69" s="959">
        <v>4324331</v>
      </c>
      <c r="G69" s="959"/>
      <c r="H69" s="959"/>
      <c r="I69" s="959"/>
      <c r="J69" s="959"/>
      <c r="K69" s="959"/>
      <c r="L69" s="959"/>
      <c r="M69" s="946"/>
    </row>
    <row r="70" spans="1:13">
      <c r="A70" s="944"/>
      <c r="B70" s="954" t="s">
        <v>1804</v>
      </c>
      <c r="C70" s="959">
        <f t="shared" si="1"/>
        <v>2801331</v>
      </c>
      <c r="D70" s="946"/>
      <c r="E70" s="959">
        <v>2801331</v>
      </c>
      <c r="F70" s="959">
        <v>2801331</v>
      </c>
      <c r="G70" s="959"/>
      <c r="H70" s="959"/>
      <c r="I70" s="959"/>
      <c r="J70" s="959"/>
      <c r="K70" s="959"/>
      <c r="L70" s="959"/>
      <c r="M70" s="946"/>
    </row>
    <row r="71" spans="1:13">
      <c r="A71" s="944"/>
      <c r="B71" s="954" t="s">
        <v>1805</v>
      </c>
      <c r="C71" s="959">
        <f t="shared" si="1"/>
        <v>1974206</v>
      </c>
      <c r="D71" s="946"/>
      <c r="E71" s="959">
        <v>1974206</v>
      </c>
      <c r="F71" s="959">
        <v>1974206</v>
      </c>
      <c r="G71" s="959"/>
      <c r="H71" s="959"/>
      <c r="I71" s="959"/>
      <c r="J71" s="959"/>
      <c r="K71" s="959"/>
      <c r="L71" s="959"/>
      <c r="M71" s="946"/>
    </row>
    <row r="72" spans="1:13">
      <c r="A72" s="944"/>
      <c r="B72" s="954" t="s">
        <v>1806</v>
      </c>
      <c r="C72" s="959">
        <f t="shared" si="1"/>
        <v>2910399</v>
      </c>
      <c r="D72" s="946"/>
      <c r="E72" s="959">
        <v>2910399</v>
      </c>
      <c r="F72" s="959">
        <v>2910399</v>
      </c>
      <c r="G72" s="959"/>
      <c r="H72" s="959"/>
      <c r="I72" s="959"/>
      <c r="J72" s="959"/>
      <c r="K72" s="959"/>
      <c r="L72" s="959"/>
      <c r="M72" s="946"/>
    </row>
    <row r="73" spans="1:13">
      <c r="A73" s="944"/>
      <c r="B73" s="954" t="s">
        <v>1807</v>
      </c>
      <c r="C73" s="959">
        <f t="shared" si="1"/>
        <v>4304468</v>
      </c>
      <c r="D73" s="946"/>
      <c r="E73" s="959">
        <v>4304468</v>
      </c>
      <c r="F73" s="959">
        <v>4304468</v>
      </c>
      <c r="G73" s="959"/>
      <c r="H73" s="959"/>
      <c r="I73" s="959"/>
      <c r="J73" s="959"/>
      <c r="K73" s="959"/>
      <c r="L73" s="959"/>
      <c r="M73" s="946"/>
    </row>
    <row r="74" spans="1:13">
      <c r="A74" s="944"/>
      <c r="B74" s="954" t="s">
        <v>1808</v>
      </c>
      <c r="C74" s="959">
        <f t="shared" si="1"/>
        <v>3656298</v>
      </c>
      <c r="D74" s="946"/>
      <c r="E74" s="959">
        <v>3656298</v>
      </c>
      <c r="F74" s="959">
        <v>3656298</v>
      </c>
      <c r="G74" s="959"/>
      <c r="H74" s="959"/>
      <c r="I74" s="959"/>
      <c r="J74" s="959"/>
      <c r="K74" s="959"/>
      <c r="L74" s="959"/>
      <c r="M74" s="946"/>
    </row>
    <row r="75" spans="1:13">
      <c r="A75" s="944"/>
      <c r="B75" s="942" t="s">
        <v>1713</v>
      </c>
      <c r="C75" s="959">
        <f t="shared" ref="C75:C86" si="6">D75+E75+H75+I75</f>
        <v>2897768</v>
      </c>
      <c r="D75" s="946"/>
      <c r="E75" s="959">
        <v>2897768</v>
      </c>
      <c r="F75" s="959">
        <v>2897768</v>
      </c>
      <c r="G75" s="959"/>
      <c r="H75" s="959"/>
      <c r="I75" s="959"/>
      <c r="J75" s="959"/>
      <c r="K75" s="959"/>
      <c r="L75" s="959"/>
      <c r="M75" s="946"/>
    </row>
    <row r="76" spans="1:13">
      <c r="A76" s="944" t="s">
        <v>603</v>
      </c>
      <c r="B76" s="942" t="s">
        <v>1728</v>
      </c>
      <c r="C76" s="959">
        <f t="shared" si="6"/>
        <v>43487000</v>
      </c>
      <c r="D76" s="946"/>
      <c r="E76" s="959">
        <v>43487000</v>
      </c>
      <c r="F76" s="959">
        <v>43487000</v>
      </c>
      <c r="G76" s="959"/>
      <c r="H76" s="959"/>
      <c r="I76" s="959"/>
      <c r="J76" s="959"/>
      <c r="K76" s="959"/>
      <c r="L76" s="959"/>
      <c r="M76" s="946"/>
    </row>
    <row r="77" spans="1:13">
      <c r="A77" s="944" t="s">
        <v>140</v>
      </c>
      <c r="B77" s="942" t="s">
        <v>1714</v>
      </c>
      <c r="C77" s="959">
        <f t="shared" si="6"/>
        <v>107000</v>
      </c>
      <c r="D77" s="946"/>
      <c r="E77" s="959">
        <v>107000</v>
      </c>
      <c r="F77" s="959">
        <v>107000</v>
      </c>
      <c r="G77" s="959"/>
      <c r="H77" s="959"/>
      <c r="I77" s="959"/>
      <c r="J77" s="959"/>
      <c r="K77" s="959"/>
      <c r="L77" s="959"/>
      <c r="M77" s="946"/>
    </row>
    <row r="78" spans="1:13" ht="56.25">
      <c r="A78" s="944" t="s">
        <v>141</v>
      </c>
      <c r="B78" s="950" t="s">
        <v>1810</v>
      </c>
      <c r="C78" s="959">
        <f t="shared" si="6"/>
        <v>300000</v>
      </c>
      <c r="D78" s="946"/>
      <c r="E78" s="959">
        <v>300000</v>
      </c>
      <c r="F78" s="959">
        <v>300000</v>
      </c>
      <c r="G78" s="959"/>
      <c r="H78" s="959"/>
      <c r="I78" s="959"/>
      <c r="J78" s="959"/>
      <c r="K78" s="959"/>
      <c r="L78" s="959"/>
      <c r="M78" s="946"/>
    </row>
    <row r="79" spans="1:13">
      <c r="A79" s="945" t="s">
        <v>289</v>
      </c>
      <c r="B79" s="949" t="s">
        <v>1193</v>
      </c>
      <c r="C79" s="957">
        <f t="shared" si="6"/>
        <v>3536321</v>
      </c>
      <c r="D79" s="948"/>
      <c r="E79" s="957">
        <f>E80+E81</f>
        <v>3536321</v>
      </c>
      <c r="F79" s="957">
        <f>F80+F81</f>
        <v>3536321</v>
      </c>
      <c r="G79" s="957"/>
      <c r="H79" s="959"/>
      <c r="I79" s="959"/>
      <c r="J79" s="959"/>
      <c r="K79" s="959"/>
      <c r="L79" s="959"/>
      <c r="M79" s="946"/>
    </row>
    <row r="80" spans="1:13">
      <c r="A80" s="944">
        <v>1</v>
      </c>
      <c r="B80" s="942" t="s">
        <v>1472</v>
      </c>
      <c r="C80" s="959">
        <f t="shared" si="6"/>
        <v>2971851</v>
      </c>
      <c r="D80" s="946"/>
      <c r="E80" s="959">
        <f>F80+G80</f>
        <v>2971851</v>
      </c>
      <c r="F80" s="959">
        <v>2971851</v>
      </c>
      <c r="G80" s="959"/>
      <c r="H80" s="959"/>
      <c r="I80" s="959"/>
      <c r="J80" s="959"/>
      <c r="K80" s="959"/>
      <c r="L80" s="959"/>
      <c r="M80" s="946"/>
    </row>
    <row r="81" spans="1:13" ht="56.25">
      <c r="A81" s="944">
        <v>2</v>
      </c>
      <c r="B81" s="950" t="s">
        <v>1820</v>
      </c>
      <c r="C81" s="959">
        <f t="shared" si="6"/>
        <v>564470</v>
      </c>
      <c r="D81" s="946"/>
      <c r="E81" s="959">
        <f>F81+G81</f>
        <v>564470</v>
      </c>
      <c r="F81" s="959">
        <v>564470</v>
      </c>
      <c r="G81" s="959"/>
      <c r="H81" s="959"/>
      <c r="I81" s="959"/>
      <c r="J81" s="959"/>
      <c r="K81" s="959"/>
      <c r="L81" s="959"/>
      <c r="M81" s="946"/>
    </row>
    <row r="82" spans="1:13">
      <c r="A82" s="945" t="s">
        <v>283</v>
      </c>
      <c r="B82" s="949" t="s">
        <v>1811</v>
      </c>
      <c r="C82" s="957">
        <f t="shared" si="6"/>
        <v>19525000</v>
      </c>
      <c r="D82" s="948"/>
      <c r="E82" s="957">
        <f>E83+E84</f>
        <v>19525000</v>
      </c>
      <c r="F82" s="957">
        <f>F83+F84</f>
        <v>19525000</v>
      </c>
      <c r="G82" s="957"/>
      <c r="H82" s="959"/>
      <c r="I82" s="959"/>
      <c r="J82" s="959"/>
      <c r="K82" s="959"/>
      <c r="L82" s="959"/>
      <c r="M82" s="946"/>
    </row>
    <row r="83" spans="1:13">
      <c r="A83" s="944">
        <v>1</v>
      </c>
      <c r="B83" s="942" t="s">
        <v>1812</v>
      </c>
      <c r="C83" s="959">
        <f t="shared" si="6"/>
        <v>13042218</v>
      </c>
      <c r="D83" s="946"/>
      <c r="E83" s="959">
        <f>F83+G83</f>
        <v>13042218</v>
      </c>
      <c r="F83" s="959">
        <v>13042218</v>
      </c>
      <c r="G83" s="959"/>
      <c r="H83" s="959"/>
      <c r="I83" s="959"/>
      <c r="J83" s="959"/>
      <c r="K83" s="959"/>
      <c r="L83" s="959"/>
      <c r="M83" s="946"/>
    </row>
    <row r="84" spans="1:13">
      <c r="A84" s="944">
        <v>2</v>
      </c>
      <c r="B84" s="942" t="s">
        <v>1813</v>
      </c>
      <c r="C84" s="959">
        <f t="shared" si="6"/>
        <v>6482782</v>
      </c>
      <c r="D84" s="946"/>
      <c r="E84" s="959">
        <f>F84+G84</f>
        <v>6482782</v>
      </c>
      <c r="F84" s="959">
        <v>6482782</v>
      </c>
      <c r="G84" s="959"/>
      <c r="H84" s="959"/>
      <c r="I84" s="959"/>
      <c r="J84" s="959"/>
      <c r="K84" s="959"/>
      <c r="L84" s="959"/>
      <c r="M84" s="946"/>
    </row>
    <row r="85" spans="1:13">
      <c r="A85" s="945" t="s">
        <v>25</v>
      </c>
      <c r="B85" s="949" t="s">
        <v>1681</v>
      </c>
      <c r="C85" s="957">
        <f t="shared" si="6"/>
        <v>10877559</v>
      </c>
      <c r="D85" s="948"/>
      <c r="E85" s="957">
        <f>SUM(E86:E105)</f>
        <v>10877559</v>
      </c>
      <c r="F85" s="957">
        <f>SUM(F86:F105)</f>
        <v>10877559</v>
      </c>
      <c r="G85" s="957"/>
      <c r="H85" s="959"/>
      <c r="I85" s="959"/>
      <c r="J85" s="959"/>
      <c r="K85" s="959"/>
      <c r="L85" s="959"/>
      <c r="M85" s="946"/>
    </row>
    <row r="86" spans="1:13">
      <c r="A86" s="944">
        <v>1</v>
      </c>
      <c r="B86" s="942" t="s">
        <v>1701</v>
      </c>
      <c r="C86" s="959">
        <f t="shared" si="6"/>
        <v>591800</v>
      </c>
      <c r="D86" s="946"/>
      <c r="E86" s="959">
        <f>F86+G86</f>
        <v>591800</v>
      </c>
      <c r="F86" s="959">
        <v>591800</v>
      </c>
      <c r="G86" s="959"/>
      <c r="H86" s="959"/>
      <c r="I86" s="959"/>
      <c r="J86" s="959"/>
      <c r="K86" s="959"/>
      <c r="L86" s="959"/>
      <c r="M86" s="946"/>
    </row>
    <row r="87" spans="1:13">
      <c r="A87" s="944">
        <v>2</v>
      </c>
      <c r="B87" s="942" t="s">
        <v>1814</v>
      </c>
      <c r="C87" s="959">
        <f t="shared" ref="C87:C105" si="7">D87+E87+H87+I87</f>
        <v>910000</v>
      </c>
      <c r="D87" s="946"/>
      <c r="E87" s="959">
        <f t="shared" ref="E87:E108" si="8">F87+G87</f>
        <v>910000</v>
      </c>
      <c r="F87" s="959">
        <v>910000</v>
      </c>
      <c r="G87" s="959"/>
      <c r="H87" s="959"/>
      <c r="I87" s="959"/>
      <c r="J87" s="959"/>
      <c r="K87" s="959"/>
      <c r="L87" s="959"/>
      <c r="M87" s="946"/>
    </row>
    <row r="88" spans="1:13" ht="42" customHeight="1">
      <c r="A88" s="944">
        <v>3</v>
      </c>
      <c r="B88" s="950" t="s">
        <v>1815</v>
      </c>
      <c r="C88" s="959">
        <f t="shared" si="7"/>
        <v>650000</v>
      </c>
      <c r="D88" s="946"/>
      <c r="E88" s="959">
        <f t="shared" si="8"/>
        <v>650000</v>
      </c>
      <c r="F88" s="959">
        <v>650000</v>
      </c>
      <c r="G88" s="959"/>
      <c r="H88" s="959"/>
      <c r="I88" s="959"/>
      <c r="J88" s="959"/>
      <c r="K88" s="959"/>
      <c r="L88" s="959"/>
      <c r="M88" s="946"/>
    </row>
    <row r="89" spans="1:13">
      <c r="A89" s="944">
        <v>4</v>
      </c>
      <c r="B89" s="942" t="s">
        <v>146</v>
      </c>
      <c r="C89" s="959">
        <f t="shared" si="7"/>
        <v>50064</v>
      </c>
      <c r="D89" s="946"/>
      <c r="E89" s="959">
        <f t="shared" si="8"/>
        <v>50064</v>
      </c>
      <c r="F89" s="959">
        <v>50064</v>
      </c>
      <c r="G89" s="959"/>
      <c r="H89" s="959"/>
      <c r="I89" s="959"/>
      <c r="J89" s="959"/>
      <c r="K89" s="959"/>
      <c r="L89" s="959"/>
      <c r="M89" s="946"/>
    </row>
    <row r="90" spans="1:13">
      <c r="A90" s="944">
        <v>5</v>
      </c>
      <c r="B90" s="942" t="s">
        <v>356</v>
      </c>
      <c r="C90" s="959">
        <f t="shared" si="7"/>
        <v>80460</v>
      </c>
      <c r="D90" s="946"/>
      <c r="E90" s="959">
        <f t="shared" si="8"/>
        <v>80460</v>
      </c>
      <c r="F90" s="959">
        <v>80460</v>
      </c>
      <c r="G90" s="959"/>
      <c r="H90" s="959"/>
      <c r="I90" s="959"/>
      <c r="J90" s="959"/>
      <c r="K90" s="959"/>
      <c r="L90" s="959"/>
      <c r="M90" s="946"/>
    </row>
    <row r="91" spans="1:13">
      <c r="A91" s="944">
        <v>6</v>
      </c>
      <c r="B91" s="942" t="s">
        <v>1729</v>
      </c>
      <c r="C91" s="959">
        <f t="shared" si="7"/>
        <v>6800000</v>
      </c>
      <c r="D91" s="946"/>
      <c r="E91" s="959">
        <f t="shared" si="8"/>
        <v>6800000</v>
      </c>
      <c r="F91" s="959">
        <v>6800000</v>
      </c>
      <c r="G91" s="959"/>
      <c r="H91" s="959"/>
      <c r="I91" s="959"/>
      <c r="J91" s="959"/>
      <c r="K91" s="959"/>
      <c r="L91" s="959"/>
      <c r="M91" s="946"/>
    </row>
    <row r="92" spans="1:13">
      <c r="A92" s="944">
        <v>7</v>
      </c>
      <c r="B92" s="942" t="s">
        <v>1816</v>
      </c>
      <c r="C92" s="959">
        <f t="shared" si="7"/>
        <v>350000</v>
      </c>
      <c r="D92" s="946"/>
      <c r="E92" s="959">
        <f t="shared" si="8"/>
        <v>350000</v>
      </c>
      <c r="F92" s="959">
        <v>350000</v>
      </c>
      <c r="G92" s="959"/>
      <c r="H92" s="959"/>
      <c r="I92" s="959"/>
      <c r="J92" s="959"/>
      <c r="K92" s="959"/>
      <c r="L92" s="959"/>
      <c r="M92" s="946"/>
    </row>
    <row r="93" spans="1:13" ht="56.25">
      <c r="A93" s="944">
        <v>8</v>
      </c>
      <c r="B93" s="950" t="s">
        <v>1715</v>
      </c>
      <c r="C93" s="959">
        <f t="shared" si="7"/>
        <v>220000</v>
      </c>
      <c r="D93" s="946"/>
      <c r="E93" s="959">
        <f t="shared" si="8"/>
        <v>220000</v>
      </c>
      <c r="F93" s="959">
        <v>220000</v>
      </c>
      <c r="G93" s="959"/>
      <c r="H93" s="959"/>
      <c r="I93" s="959"/>
      <c r="J93" s="959"/>
      <c r="K93" s="959"/>
      <c r="L93" s="959"/>
      <c r="M93" s="946"/>
    </row>
    <row r="94" spans="1:13" ht="56.25">
      <c r="A94" s="944">
        <v>9</v>
      </c>
      <c r="B94" s="950" t="s">
        <v>1817</v>
      </c>
      <c r="C94" s="959">
        <f t="shared" si="7"/>
        <v>20000</v>
      </c>
      <c r="D94" s="946"/>
      <c r="E94" s="959">
        <f t="shared" si="8"/>
        <v>20000</v>
      </c>
      <c r="F94" s="959">
        <v>20000</v>
      </c>
      <c r="G94" s="959"/>
      <c r="H94" s="959"/>
      <c r="I94" s="959"/>
      <c r="J94" s="959"/>
      <c r="K94" s="959"/>
      <c r="L94" s="959"/>
      <c r="M94" s="946"/>
    </row>
    <row r="95" spans="1:13">
      <c r="A95" s="944">
        <v>10</v>
      </c>
      <c r="B95" s="942" t="s">
        <v>1716</v>
      </c>
      <c r="C95" s="959">
        <f t="shared" si="7"/>
        <v>355230</v>
      </c>
      <c r="D95" s="946"/>
      <c r="E95" s="959">
        <f t="shared" si="8"/>
        <v>355230</v>
      </c>
      <c r="F95" s="959">
        <v>355230</v>
      </c>
      <c r="G95" s="959"/>
      <c r="H95" s="959"/>
      <c r="I95" s="959"/>
      <c r="J95" s="959"/>
      <c r="K95" s="959"/>
      <c r="L95" s="959"/>
      <c r="M95" s="946"/>
    </row>
    <row r="96" spans="1:13">
      <c r="A96" s="944">
        <v>11</v>
      </c>
      <c r="B96" s="942" t="s">
        <v>1717</v>
      </c>
      <c r="C96" s="959">
        <f t="shared" si="7"/>
        <v>335546</v>
      </c>
      <c r="D96" s="946"/>
      <c r="E96" s="959">
        <f t="shared" si="8"/>
        <v>335546</v>
      </c>
      <c r="F96" s="959">
        <v>335546</v>
      </c>
      <c r="G96" s="959"/>
      <c r="H96" s="959"/>
      <c r="I96" s="959"/>
      <c r="J96" s="959"/>
      <c r="K96" s="959"/>
      <c r="L96" s="959"/>
      <c r="M96" s="946"/>
    </row>
    <row r="97" spans="1:13">
      <c r="A97" s="944">
        <v>12</v>
      </c>
      <c r="B97" s="942" t="s">
        <v>1718</v>
      </c>
      <c r="C97" s="959">
        <f t="shared" si="7"/>
        <v>213539</v>
      </c>
      <c r="D97" s="946"/>
      <c r="E97" s="959">
        <f t="shared" si="8"/>
        <v>213539</v>
      </c>
      <c r="F97" s="959">
        <v>213539</v>
      </c>
      <c r="G97" s="959"/>
      <c r="H97" s="959"/>
      <c r="I97" s="959"/>
      <c r="J97" s="959"/>
      <c r="K97" s="959"/>
      <c r="L97" s="959"/>
      <c r="M97" s="946"/>
    </row>
    <row r="98" spans="1:13">
      <c r="A98" s="944">
        <v>13</v>
      </c>
      <c r="B98" s="942" t="s">
        <v>1719</v>
      </c>
      <c r="C98" s="959">
        <f t="shared" si="7"/>
        <v>20000</v>
      </c>
      <c r="D98" s="946"/>
      <c r="E98" s="959">
        <f t="shared" si="8"/>
        <v>20000</v>
      </c>
      <c r="F98" s="959">
        <v>20000</v>
      </c>
      <c r="G98" s="959"/>
      <c r="H98" s="959"/>
      <c r="I98" s="959"/>
      <c r="J98" s="959"/>
      <c r="K98" s="959"/>
      <c r="L98" s="959"/>
      <c r="M98" s="946"/>
    </row>
    <row r="99" spans="1:13">
      <c r="A99" s="944">
        <v>14</v>
      </c>
      <c r="B99" s="942" t="s">
        <v>1720</v>
      </c>
      <c r="C99" s="959">
        <f t="shared" si="7"/>
        <v>40000</v>
      </c>
      <c r="D99" s="946"/>
      <c r="E99" s="959">
        <f t="shared" si="8"/>
        <v>40000</v>
      </c>
      <c r="F99" s="959">
        <v>40000</v>
      </c>
      <c r="G99" s="959"/>
      <c r="H99" s="959"/>
      <c r="I99" s="959"/>
      <c r="J99" s="959"/>
      <c r="K99" s="959"/>
      <c r="L99" s="959"/>
      <c r="M99" s="946"/>
    </row>
    <row r="100" spans="1:13">
      <c r="A100" s="944">
        <v>15</v>
      </c>
      <c r="B100" s="942" t="s">
        <v>1721</v>
      </c>
      <c r="C100" s="959">
        <f t="shared" si="7"/>
        <v>80460</v>
      </c>
      <c r="D100" s="946"/>
      <c r="E100" s="959">
        <f t="shared" si="8"/>
        <v>80460</v>
      </c>
      <c r="F100" s="959">
        <v>80460</v>
      </c>
      <c r="G100" s="959"/>
      <c r="H100" s="959"/>
      <c r="I100" s="959"/>
      <c r="J100" s="959"/>
      <c r="K100" s="959"/>
      <c r="L100" s="959"/>
      <c r="M100" s="946"/>
    </row>
    <row r="101" spans="1:13">
      <c r="A101" s="944">
        <v>16</v>
      </c>
      <c r="B101" s="942" t="s">
        <v>1722</v>
      </c>
      <c r="C101" s="959">
        <f t="shared" si="7"/>
        <v>80460</v>
      </c>
      <c r="D101" s="946"/>
      <c r="E101" s="959">
        <f t="shared" si="8"/>
        <v>80460</v>
      </c>
      <c r="F101" s="959">
        <v>80460</v>
      </c>
      <c r="G101" s="959"/>
      <c r="H101" s="959"/>
      <c r="I101" s="959"/>
      <c r="J101" s="959"/>
      <c r="K101" s="959"/>
      <c r="L101" s="959"/>
      <c r="M101" s="946"/>
    </row>
    <row r="102" spans="1:13">
      <c r="A102" s="944">
        <v>17</v>
      </c>
      <c r="B102" s="942" t="s">
        <v>574</v>
      </c>
      <c r="C102" s="959">
        <f t="shared" si="7"/>
        <v>20000</v>
      </c>
      <c r="D102" s="946"/>
      <c r="E102" s="959">
        <f t="shared" si="8"/>
        <v>20000</v>
      </c>
      <c r="F102" s="959">
        <v>20000</v>
      </c>
      <c r="G102" s="959"/>
      <c r="H102" s="959"/>
      <c r="I102" s="959"/>
      <c r="J102" s="959"/>
      <c r="K102" s="959"/>
      <c r="L102" s="959"/>
      <c r="M102" s="946"/>
    </row>
    <row r="103" spans="1:13">
      <c r="A103" s="944">
        <v>18</v>
      </c>
      <c r="B103" s="942" t="s">
        <v>542</v>
      </c>
      <c r="C103" s="959">
        <f t="shared" si="7"/>
        <v>20000</v>
      </c>
      <c r="D103" s="946"/>
      <c r="E103" s="959">
        <f t="shared" si="8"/>
        <v>20000</v>
      </c>
      <c r="F103" s="959">
        <v>20000</v>
      </c>
      <c r="G103" s="959"/>
      <c r="H103" s="959"/>
      <c r="I103" s="959"/>
      <c r="J103" s="959"/>
      <c r="K103" s="959"/>
      <c r="L103" s="959"/>
      <c r="M103" s="946"/>
    </row>
    <row r="104" spans="1:13">
      <c r="A104" s="944">
        <v>19</v>
      </c>
      <c r="B104" s="942" t="s">
        <v>397</v>
      </c>
      <c r="C104" s="959">
        <f t="shared" si="7"/>
        <v>20000</v>
      </c>
      <c r="D104" s="946"/>
      <c r="E104" s="959">
        <f t="shared" si="8"/>
        <v>20000</v>
      </c>
      <c r="F104" s="959">
        <v>20000</v>
      </c>
      <c r="G104" s="959"/>
      <c r="H104" s="959"/>
      <c r="I104" s="959"/>
      <c r="J104" s="959"/>
      <c r="K104" s="959"/>
      <c r="L104" s="959"/>
      <c r="M104" s="946"/>
    </row>
    <row r="105" spans="1:13">
      <c r="A105" s="944">
        <v>20</v>
      </c>
      <c r="B105" s="942" t="s">
        <v>1723</v>
      </c>
      <c r="C105" s="959">
        <f t="shared" si="7"/>
        <v>20000</v>
      </c>
      <c r="D105" s="946"/>
      <c r="E105" s="959">
        <f t="shared" si="8"/>
        <v>20000</v>
      </c>
      <c r="F105" s="959">
        <v>20000</v>
      </c>
      <c r="G105" s="959"/>
      <c r="H105" s="959"/>
      <c r="I105" s="959"/>
      <c r="J105" s="959"/>
      <c r="K105" s="959"/>
      <c r="L105" s="959"/>
      <c r="M105" s="946"/>
    </row>
    <row r="106" spans="1:13">
      <c r="A106" s="945" t="s">
        <v>26</v>
      </c>
      <c r="B106" s="949" t="s">
        <v>1682</v>
      </c>
      <c r="C106" s="957">
        <f t="shared" ref="C106:C117" si="9">D106+E106+H106+I106</f>
        <v>6572738</v>
      </c>
      <c r="D106" s="948"/>
      <c r="E106" s="957">
        <f>E107+E108+E109</f>
        <v>6572738</v>
      </c>
      <c r="F106" s="957">
        <f t="shared" ref="F106:G106" si="10">F107+F108+F109</f>
        <v>6572738</v>
      </c>
      <c r="G106" s="957">
        <f t="shared" si="10"/>
        <v>0</v>
      </c>
      <c r="H106" s="957"/>
      <c r="I106" s="959"/>
      <c r="J106" s="959"/>
      <c r="K106" s="959"/>
      <c r="L106" s="959"/>
      <c r="M106" s="946"/>
    </row>
    <row r="107" spans="1:13">
      <c r="A107" s="944">
        <v>1</v>
      </c>
      <c r="B107" s="942" t="s">
        <v>1724</v>
      </c>
      <c r="C107" s="959">
        <f t="shared" si="9"/>
        <v>3276738</v>
      </c>
      <c r="D107" s="946"/>
      <c r="E107" s="959">
        <f t="shared" si="8"/>
        <v>3276738</v>
      </c>
      <c r="F107" s="959">
        <v>3276738</v>
      </c>
      <c r="G107" s="959"/>
      <c r="H107" s="959"/>
      <c r="I107" s="959"/>
      <c r="J107" s="959"/>
      <c r="K107" s="959"/>
      <c r="L107" s="959"/>
      <c r="M107" s="946"/>
    </row>
    <row r="108" spans="1:13">
      <c r="A108" s="944">
        <v>2</v>
      </c>
      <c r="B108" s="942" t="s">
        <v>575</v>
      </c>
      <c r="C108" s="959">
        <f t="shared" si="9"/>
        <v>796000</v>
      </c>
      <c r="D108" s="946"/>
      <c r="E108" s="959">
        <f t="shared" si="8"/>
        <v>796000</v>
      </c>
      <c r="F108" s="959">
        <v>796000</v>
      </c>
      <c r="G108" s="959"/>
      <c r="H108" s="959"/>
      <c r="I108" s="959"/>
      <c r="J108" s="959"/>
      <c r="K108" s="959"/>
      <c r="L108" s="959"/>
      <c r="M108" s="946"/>
    </row>
    <row r="109" spans="1:13">
      <c r="A109" s="944">
        <v>3</v>
      </c>
      <c r="B109" s="942" t="s">
        <v>1818</v>
      </c>
      <c r="C109" s="959">
        <f t="shared" si="9"/>
        <v>2500000</v>
      </c>
      <c r="D109" s="946"/>
      <c r="E109" s="959">
        <f>F109+G109</f>
        <v>2500000</v>
      </c>
      <c r="F109" s="959">
        <v>2500000</v>
      </c>
      <c r="G109" s="959"/>
      <c r="H109" s="959"/>
      <c r="I109" s="959"/>
      <c r="J109" s="959"/>
      <c r="K109" s="959"/>
      <c r="L109" s="959"/>
      <c r="M109" s="946"/>
    </row>
    <row r="110" spans="1:13" ht="97.5" customHeight="1">
      <c r="A110" s="955" t="s">
        <v>357</v>
      </c>
      <c r="B110" s="950" t="s">
        <v>1727</v>
      </c>
      <c r="C110" s="957">
        <f t="shared" si="9"/>
        <v>200000</v>
      </c>
      <c r="D110" s="946"/>
      <c r="E110" s="957">
        <v>200000</v>
      </c>
      <c r="F110" s="957">
        <v>200000</v>
      </c>
      <c r="G110" s="957"/>
      <c r="H110" s="959"/>
      <c r="I110" s="959"/>
      <c r="J110" s="959"/>
      <c r="K110" s="959"/>
      <c r="L110" s="959"/>
      <c r="M110" s="946"/>
    </row>
    <row r="111" spans="1:13">
      <c r="A111" s="945" t="s">
        <v>152</v>
      </c>
      <c r="B111" s="949" t="s">
        <v>1725</v>
      </c>
      <c r="C111" s="957">
        <f t="shared" si="9"/>
        <v>500000</v>
      </c>
      <c r="D111" s="948"/>
      <c r="E111" s="957"/>
      <c r="F111" s="957"/>
      <c r="G111" s="957"/>
      <c r="H111" s="957"/>
      <c r="I111" s="957">
        <v>500000</v>
      </c>
      <c r="J111" s="959"/>
      <c r="K111" s="959"/>
      <c r="L111" s="959"/>
      <c r="M111" s="946"/>
    </row>
    <row r="112" spans="1:13">
      <c r="A112" s="945" t="s">
        <v>154</v>
      </c>
      <c r="B112" s="949" t="s">
        <v>576</v>
      </c>
      <c r="C112" s="957">
        <f t="shared" si="9"/>
        <v>2000000</v>
      </c>
      <c r="D112" s="946"/>
      <c r="E112" s="957">
        <f t="shared" ref="E112:E116" si="11">F112+G112</f>
        <v>2000000</v>
      </c>
      <c r="F112" s="957">
        <v>1650000</v>
      </c>
      <c r="G112" s="957">
        <v>350000</v>
      </c>
      <c r="H112" s="959"/>
      <c r="I112" s="959"/>
      <c r="J112" s="959"/>
      <c r="K112" s="959"/>
      <c r="L112" s="959"/>
      <c r="M112" s="946"/>
    </row>
    <row r="113" spans="1:13">
      <c r="A113" s="945" t="s">
        <v>156</v>
      </c>
      <c r="B113" s="949" t="s">
        <v>1726</v>
      </c>
      <c r="C113" s="957">
        <f t="shared" si="9"/>
        <v>1517000</v>
      </c>
      <c r="D113" s="948"/>
      <c r="E113" s="957">
        <f t="shared" si="11"/>
        <v>1517000</v>
      </c>
      <c r="F113" s="957">
        <v>1417000</v>
      </c>
      <c r="G113" s="957">
        <v>100000</v>
      </c>
      <c r="H113" s="957"/>
      <c r="I113" s="960"/>
      <c r="J113" s="958"/>
      <c r="K113" s="959"/>
      <c r="L113" s="959"/>
      <c r="M113" s="946"/>
    </row>
    <row r="114" spans="1:13">
      <c r="A114" s="945" t="s">
        <v>504</v>
      </c>
      <c r="B114" s="956" t="s">
        <v>592</v>
      </c>
      <c r="C114" s="957">
        <f t="shared" si="9"/>
        <v>200000</v>
      </c>
      <c r="D114" s="948"/>
      <c r="E114" s="957">
        <f t="shared" si="11"/>
        <v>200000</v>
      </c>
      <c r="F114" s="957">
        <v>200000</v>
      </c>
      <c r="G114" s="957"/>
      <c r="H114" s="959"/>
      <c r="I114" s="957"/>
      <c r="J114" s="959"/>
      <c r="K114" s="959"/>
      <c r="L114" s="959"/>
      <c r="M114" s="946"/>
    </row>
    <row r="115" spans="1:13">
      <c r="A115" s="945" t="s">
        <v>527</v>
      </c>
      <c r="B115" s="956" t="s">
        <v>597</v>
      </c>
      <c r="C115" s="957">
        <f t="shared" si="9"/>
        <v>600000</v>
      </c>
      <c r="D115" s="948"/>
      <c r="E115" s="957">
        <f t="shared" si="11"/>
        <v>600000</v>
      </c>
      <c r="F115" s="957">
        <v>600000</v>
      </c>
      <c r="G115" s="957"/>
      <c r="H115" s="959"/>
      <c r="I115" s="959"/>
      <c r="J115" s="959"/>
      <c r="K115" s="959"/>
      <c r="L115" s="959"/>
      <c r="M115" s="946"/>
    </row>
    <row r="116" spans="1:13">
      <c r="A116" s="945" t="s">
        <v>649</v>
      </c>
      <c r="B116" s="956" t="s">
        <v>1821</v>
      </c>
      <c r="C116" s="957">
        <f t="shared" si="9"/>
        <v>359652</v>
      </c>
      <c r="D116" s="948"/>
      <c r="E116" s="957">
        <f t="shared" si="11"/>
        <v>359652</v>
      </c>
      <c r="F116" s="957">
        <v>359652</v>
      </c>
      <c r="G116" s="957"/>
      <c r="H116" s="959"/>
      <c r="I116" s="959"/>
      <c r="J116" s="959"/>
      <c r="K116" s="959"/>
      <c r="L116" s="959"/>
      <c r="M116" s="946"/>
    </row>
    <row r="117" spans="1:13">
      <c r="A117" s="945" t="s">
        <v>67</v>
      </c>
      <c r="B117" s="949" t="s">
        <v>205</v>
      </c>
      <c r="C117" s="957">
        <f t="shared" si="9"/>
        <v>2931000</v>
      </c>
      <c r="D117" s="948"/>
      <c r="E117" s="957"/>
      <c r="F117" s="957"/>
      <c r="G117" s="957"/>
      <c r="H117" s="957">
        <v>2931000</v>
      </c>
      <c r="I117" s="957"/>
      <c r="J117" s="957"/>
      <c r="K117" s="957"/>
      <c r="L117" s="959"/>
      <c r="M117" s="946"/>
    </row>
    <row r="118" spans="1:13">
      <c r="C118" s="249"/>
      <c r="D118" s="249"/>
      <c r="E118" s="249"/>
      <c r="F118" s="249"/>
      <c r="G118" s="249"/>
      <c r="H118" s="249"/>
      <c r="I118" s="249"/>
      <c r="J118" s="249"/>
      <c r="K118" s="249"/>
      <c r="L118" s="249"/>
      <c r="M118" s="249"/>
    </row>
    <row r="119" spans="1:13">
      <c r="C119" s="249"/>
      <c r="D119" s="249"/>
      <c r="E119" s="249"/>
      <c r="F119" s="249"/>
      <c r="G119" s="249"/>
      <c r="H119" s="249"/>
      <c r="I119" s="249"/>
      <c r="J119" s="249"/>
      <c r="K119" s="249"/>
      <c r="L119" s="249"/>
      <c r="M119" s="249"/>
    </row>
    <row r="120" spans="1:13">
      <c r="C120" s="249"/>
      <c r="D120" s="249"/>
      <c r="E120" s="249"/>
      <c r="F120" s="249"/>
      <c r="G120" s="249"/>
      <c r="H120" s="249"/>
      <c r="I120" s="249"/>
      <c r="J120" s="249"/>
      <c r="K120" s="249"/>
      <c r="L120" s="249"/>
      <c r="M120" s="249"/>
    </row>
    <row r="121" spans="1:13">
      <c r="C121" s="249"/>
      <c r="D121" s="249"/>
      <c r="E121" s="249"/>
      <c r="F121" s="249"/>
      <c r="G121" s="249"/>
      <c r="H121" s="249"/>
      <c r="I121" s="249"/>
      <c r="J121" s="249"/>
      <c r="K121" s="249"/>
      <c r="L121" s="249"/>
      <c r="M121" s="249"/>
    </row>
    <row r="122" spans="1:13">
      <c r="C122" s="249"/>
      <c r="D122" s="249"/>
      <c r="E122" s="249"/>
      <c r="F122" s="249"/>
      <c r="G122" s="249"/>
      <c r="H122" s="249"/>
      <c r="I122" s="249"/>
      <c r="J122" s="249"/>
      <c r="K122" s="249"/>
      <c r="L122" s="249"/>
      <c r="M122" s="249"/>
    </row>
    <row r="123" spans="1:13">
      <c r="C123" s="249"/>
      <c r="D123" s="249"/>
      <c r="E123" s="249"/>
      <c r="F123" s="249"/>
      <c r="G123" s="249"/>
      <c r="H123" s="249"/>
      <c r="I123" s="249"/>
      <c r="J123" s="249"/>
      <c r="K123" s="249"/>
      <c r="L123" s="249"/>
      <c r="M123" s="249"/>
    </row>
    <row r="124" spans="1:13">
      <c r="C124" s="249"/>
      <c r="D124" s="249"/>
      <c r="E124" s="249"/>
      <c r="F124" s="249"/>
      <c r="G124" s="249"/>
      <c r="H124" s="249"/>
      <c r="I124" s="249"/>
      <c r="J124" s="249"/>
      <c r="K124" s="249"/>
      <c r="L124" s="249"/>
      <c r="M124" s="249"/>
    </row>
    <row r="125" spans="1:13">
      <c r="C125" s="249"/>
      <c r="D125" s="249"/>
      <c r="E125" s="249"/>
      <c r="F125" s="249"/>
      <c r="G125" s="249"/>
      <c r="H125" s="249"/>
      <c r="I125" s="249"/>
      <c r="J125" s="249"/>
      <c r="K125" s="249"/>
      <c r="L125" s="249"/>
      <c r="M125" s="249"/>
    </row>
    <row r="126" spans="1:13">
      <c r="C126" s="249"/>
      <c r="D126" s="249"/>
      <c r="E126" s="249"/>
      <c r="F126" s="249"/>
      <c r="G126" s="249"/>
      <c r="H126" s="249"/>
      <c r="I126" s="249"/>
      <c r="J126" s="249"/>
      <c r="K126" s="249"/>
      <c r="L126" s="249"/>
      <c r="M126" s="249"/>
    </row>
    <row r="127" spans="1:13">
      <c r="C127" s="249"/>
      <c r="D127" s="249"/>
      <c r="E127" s="249"/>
      <c r="F127" s="249"/>
      <c r="G127" s="249"/>
      <c r="H127" s="249"/>
      <c r="I127" s="249"/>
      <c r="J127" s="249"/>
      <c r="K127" s="249"/>
      <c r="L127" s="249"/>
      <c r="M127" s="249"/>
    </row>
    <row r="128" spans="1:13">
      <c r="C128" s="249"/>
      <c r="D128" s="249"/>
      <c r="E128" s="249"/>
      <c r="F128" s="249"/>
      <c r="G128" s="249"/>
      <c r="H128" s="249"/>
      <c r="I128" s="249"/>
      <c r="J128" s="249"/>
      <c r="K128" s="249"/>
      <c r="L128" s="249"/>
      <c r="M128" s="249"/>
    </row>
    <row r="129" spans="3:13">
      <c r="C129" s="249"/>
      <c r="D129" s="249"/>
      <c r="E129" s="249"/>
      <c r="F129" s="249"/>
      <c r="G129" s="249"/>
      <c r="H129" s="249"/>
      <c r="I129" s="249"/>
      <c r="J129" s="249"/>
      <c r="K129" s="249"/>
      <c r="L129" s="249"/>
      <c r="M129" s="249"/>
    </row>
    <row r="130" spans="3:13">
      <c r="C130" s="249"/>
      <c r="D130" s="249"/>
      <c r="E130" s="249"/>
      <c r="F130" s="249"/>
      <c r="G130" s="249"/>
      <c r="H130" s="249"/>
      <c r="I130" s="249"/>
      <c r="J130" s="249"/>
      <c r="K130" s="249"/>
      <c r="L130" s="249"/>
      <c r="M130" s="249"/>
    </row>
    <row r="131" spans="3:13">
      <c r="C131" s="249"/>
      <c r="D131" s="249"/>
      <c r="E131" s="249"/>
      <c r="F131" s="249"/>
      <c r="G131" s="249"/>
      <c r="H131" s="249"/>
      <c r="I131" s="249"/>
      <c r="J131" s="249"/>
      <c r="K131" s="249"/>
      <c r="L131" s="249"/>
      <c r="M131" s="249"/>
    </row>
    <row r="132" spans="3:13">
      <c r="C132" s="249"/>
      <c r="D132" s="249"/>
      <c r="E132" s="249"/>
      <c r="F132" s="249"/>
      <c r="G132" s="249"/>
      <c r="H132" s="249"/>
      <c r="I132" s="249"/>
      <c r="J132" s="249"/>
      <c r="K132" s="249"/>
      <c r="L132" s="249"/>
      <c r="M132" s="249"/>
    </row>
    <row r="133" spans="3:13">
      <c r="C133" s="249"/>
      <c r="D133" s="249"/>
      <c r="E133" s="249"/>
      <c r="F133" s="249"/>
      <c r="G133" s="249"/>
      <c r="H133" s="249"/>
      <c r="I133" s="249"/>
      <c r="J133" s="249"/>
      <c r="K133" s="249"/>
      <c r="L133" s="249"/>
      <c r="M133" s="249"/>
    </row>
    <row r="134" spans="3:13">
      <c r="C134" s="249"/>
      <c r="D134" s="249"/>
      <c r="E134" s="249"/>
      <c r="F134" s="249"/>
      <c r="G134" s="249"/>
      <c r="H134" s="249"/>
      <c r="I134" s="249"/>
      <c r="J134" s="249"/>
      <c r="K134" s="249"/>
      <c r="L134" s="249"/>
      <c r="M134" s="249"/>
    </row>
    <row r="135" spans="3:13">
      <c r="C135" s="249"/>
      <c r="D135" s="249"/>
      <c r="E135" s="249"/>
      <c r="F135" s="249"/>
      <c r="G135" s="249"/>
      <c r="H135" s="249"/>
      <c r="I135" s="249"/>
      <c r="J135" s="249"/>
      <c r="K135" s="249"/>
      <c r="L135" s="249"/>
      <c r="M135" s="249"/>
    </row>
    <row r="136" spans="3:13">
      <c r="C136" s="249"/>
      <c r="D136" s="249"/>
      <c r="E136" s="249"/>
      <c r="F136" s="249"/>
      <c r="G136" s="249"/>
      <c r="H136" s="249"/>
      <c r="I136" s="249"/>
      <c r="J136" s="249"/>
      <c r="K136" s="249"/>
      <c r="L136" s="249"/>
      <c r="M136" s="249"/>
    </row>
    <row r="137" spans="3:13">
      <c r="C137" s="249"/>
      <c r="D137" s="249"/>
      <c r="E137" s="249"/>
      <c r="F137" s="249"/>
      <c r="G137" s="249"/>
      <c r="H137" s="249"/>
      <c r="I137" s="249"/>
      <c r="J137" s="249"/>
      <c r="K137" s="249"/>
      <c r="L137" s="249"/>
      <c r="M137" s="249"/>
    </row>
    <row r="138" spans="3:13">
      <c r="C138" s="249"/>
      <c r="D138" s="249"/>
      <c r="E138" s="249"/>
      <c r="F138" s="249"/>
      <c r="G138" s="249"/>
      <c r="H138" s="249"/>
      <c r="I138" s="249"/>
      <c r="J138" s="249"/>
      <c r="K138" s="249"/>
      <c r="L138" s="249"/>
      <c r="M138" s="249"/>
    </row>
    <row r="139" spans="3:13">
      <c r="C139" s="249"/>
      <c r="D139" s="249"/>
      <c r="E139" s="249"/>
      <c r="F139" s="249"/>
      <c r="G139" s="249"/>
      <c r="H139" s="249"/>
      <c r="I139" s="249"/>
      <c r="J139" s="249"/>
      <c r="K139" s="249"/>
      <c r="L139" s="249"/>
      <c r="M139" s="249"/>
    </row>
    <row r="140" spans="3:13">
      <c r="C140" s="249"/>
      <c r="D140" s="249"/>
      <c r="E140" s="249"/>
      <c r="F140" s="249"/>
      <c r="G140" s="249"/>
      <c r="H140" s="249"/>
      <c r="I140" s="249"/>
      <c r="J140" s="249"/>
      <c r="K140" s="249"/>
      <c r="L140" s="249"/>
      <c r="M140" s="249"/>
    </row>
    <row r="141" spans="3:13">
      <c r="C141" s="249"/>
      <c r="D141" s="249"/>
      <c r="E141" s="249"/>
      <c r="F141" s="249"/>
      <c r="G141" s="249"/>
      <c r="H141" s="249"/>
      <c r="I141" s="249"/>
      <c r="J141" s="249"/>
      <c r="K141" s="249"/>
      <c r="L141" s="249"/>
      <c r="M141" s="249"/>
    </row>
    <row r="142" spans="3:13">
      <c r="C142" s="249"/>
      <c r="D142" s="249"/>
      <c r="E142" s="249"/>
      <c r="F142" s="249"/>
      <c r="G142" s="249"/>
      <c r="H142" s="249"/>
      <c r="I142" s="249"/>
      <c r="J142" s="249"/>
      <c r="K142" s="249"/>
      <c r="L142" s="249"/>
      <c r="M142" s="249"/>
    </row>
    <row r="143" spans="3:13">
      <c r="C143" s="249"/>
      <c r="D143" s="249"/>
      <c r="E143" s="249"/>
      <c r="F143" s="249"/>
      <c r="G143" s="249"/>
      <c r="H143" s="249"/>
      <c r="I143" s="249"/>
      <c r="J143" s="249"/>
      <c r="K143" s="249"/>
      <c r="L143" s="249"/>
      <c r="M143" s="249"/>
    </row>
    <row r="144" spans="3:13">
      <c r="C144" s="249"/>
      <c r="D144" s="249"/>
      <c r="E144" s="249"/>
      <c r="F144" s="249"/>
      <c r="G144" s="249"/>
      <c r="H144" s="249"/>
      <c r="I144" s="249"/>
      <c r="J144" s="249"/>
      <c r="K144" s="249"/>
      <c r="L144" s="249"/>
      <c r="M144" s="249"/>
    </row>
    <row r="145" spans="3:13">
      <c r="C145" s="249"/>
      <c r="D145" s="249"/>
      <c r="E145" s="249"/>
      <c r="F145" s="249"/>
      <c r="G145" s="249"/>
      <c r="H145" s="249"/>
      <c r="I145" s="249"/>
      <c r="J145" s="249"/>
      <c r="K145" s="249"/>
      <c r="L145" s="249"/>
      <c r="M145" s="249"/>
    </row>
    <row r="146" spans="3:13">
      <c r="C146" s="249"/>
      <c r="D146" s="249"/>
      <c r="E146" s="249"/>
      <c r="F146" s="249"/>
      <c r="G146" s="249"/>
      <c r="H146" s="249"/>
      <c r="I146" s="249"/>
      <c r="J146" s="249"/>
      <c r="K146" s="249"/>
      <c r="L146" s="249"/>
      <c r="M146" s="249"/>
    </row>
    <row r="147" spans="3:13">
      <c r="C147" s="249"/>
      <c r="D147" s="249"/>
      <c r="E147" s="249"/>
      <c r="F147" s="249"/>
      <c r="G147" s="249"/>
      <c r="H147" s="249"/>
      <c r="I147" s="249"/>
      <c r="J147" s="249"/>
      <c r="K147" s="249"/>
      <c r="L147" s="249"/>
      <c r="M147" s="249"/>
    </row>
    <row r="148" spans="3:13">
      <c r="C148" s="249"/>
      <c r="D148" s="249"/>
      <c r="E148" s="249"/>
      <c r="F148" s="249"/>
      <c r="G148" s="249"/>
      <c r="H148" s="249"/>
      <c r="I148" s="249"/>
      <c r="J148" s="249"/>
      <c r="K148" s="249"/>
      <c r="L148" s="249"/>
      <c r="M148" s="249"/>
    </row>
    <row r="149" spans="3:13">
      <c r="C149" s="249"/>
      <c r="D149" s="249"/>
      <c r="E149" s="249"/>
      <c r="F149" s="249"/>
      <c r="G149" s="249"/>
      <c r="H149" s="249"/>
      <c r="I149" s="249"/>
      <c r="J149" s="249"/>
      <c r="K149" s="249"/>
      <c r="L149" s="249"/>
      <c r="M149" s="249"/>
    </row>
    <row r="150" spans="3:13">
      <c r="C150" s="249"/>
      <c r="D150" s="249"/>
      <c r="E150" s="249"/>
      <c r="F150" s="249"/>
      <c r="G150" s="249"/>
      <c r="H150" s="249"/>
      <c r="I150" s="249"/>
      <c r="J150" s="249"/>
      <c r="K150" s="249"/>
      <c r="L150" s="249"/>
      <c r="M150" s="249"/>
    </row>
    <row r="151" spans="3:13">
      <c r="C151" s="249"/>
      <c r="D151" s="249"/>
      <c r="E151" s="249"/>
      <c r="F151" s="249"/>
      <c r="G151" s="249"/>
      <c r="H151" s="249"/>
      <c r="I151" s="249"/>
      <c r="J151" s="249"/>
      <c r="K151" s="249"/>
      <c r="L151" s="249"/>
      <c r="M151" s="249"/>
    </row>
    <row r="152" spans="3:13">
      <c r="C152" s="249"/>
      <c r="D152" s="249"/>
      <c r="E152" s="249"/>
      <c r="F152" s="249"/>
      <c r="G152" s="249"/>
      <c r="H152" s="249"/>
      <c r="I152" s="249"/>
      <c r="J152" s="249"/>
      <c r="K152" s="249"/>
      <c r="L152" s="249"/>
      <c r="M152" s="249"/>
    </row>
    <row r="153" spans="3:13">
      <c r="C153" s="249"/>
      <c r="D153" s="249"/>
      <c r="E153" s="249"/>
      <c r="F153" s="249"/>
      <c r="G153" s="249"/>
      <c r="H153" s="249"/>
      <c r="I153" s="249"/>
      <c r="J153" s="249"/>
      <c r="K153" s="249"/>
      <c r="L153" s="249"/>
      <c r="M153" s="249"/>
    </row>
    <row r="154" spans="3:13">
      <c r="C154" s="249"/>
      <c r="D154" s="249"/>
      <c r="E154" s="249"/>
      <c r="F154" s="249"/>
      <c r="G154" s="249"/>
      <c r="H154" s="249"/>
      <c r="I154" s="249"/>
      <c r="J154" s="249"/>
      <c r="K154" s="249"/>
      <c r="L154" s="249"/>
      <c r="M154" s="249"/>
    </row>
    <row r="155" spans="3:13">
      <c r="C155" s="249"/>
      <c r="D155" s="249"/>
      <c r="E155" s="249"/>
      <c r="F155" s="249"/>
      <c r="G155" s="249"/>
      <c r="H155" s="249"/>
      <c r="I155" s="249"/>
      <c r="J155" s="249"/>
      <c r="K155" s="249"/>
      <c r="L155" s="249"/>
      <c r="M155" s="249"/>
    </row>
    <row r="156" spans="3:13">
      <c r="C156" s="249"/>
      <c r="D156" s="249"/>
      <c r="E156" s="249"/>
      <c r="F156" s="249"/>
      <c r="G156" s="249"/>
      <c r="H156" s="249"/>
      <c r="I156" s="249"/>
      <c r="J156" s="249"/>
      <c r="K156" s="249"/>
      <c r="L156" s="249"/>
      <c r="M156" s="249"/>
    </row>
    <row r="157" spans="3:13">
      <c r="C157" s="249"/>
      <c r="D157" s="249"/>
      <c r="E157" s="249"/>
      <c r="F157" s="249"/>
      <c r="G157" s="249"/>
      <c r="H157" s="249"/>
      <c r="I157" s="249"/>
      <c r="J157" s="249"/>
      <c r="K157" s="249"/>
      <c r="L157" s="249"/>
      <c r="M157" s="249"/>
    </row>
    <row r="158" spans="3:13">
      <c r="C158" s="249"/>
      <c r="D158" s="249"/>
      <c r="E158" s="249"/>
      <c r="F158" s="249"/>
      <c r="G158" s="249"/>
      <c r="H158" s="249"/>
      <c r="I158" s="249"/>
      <c r="J158" s="249"/>
      <c r="K158" s="249"/>
      <c r="L158" s="249"/>
      <c r="M158" s="249"/>
    </row>
    <row r="159" spans="3:13">
      <c r="C159" s="249"/>
      <c r="D159" s="249"/>
      <c r="E159" s="249"/>
      <c r="F159" s="249"/>
      <c r="G159" s="249"/>
      <c r="H159" s="249"/>
      <c r="I159" s="249"/>
      <c r="J159" s="249"/>
      <c r="K159" s="249"/>
      <c r="L159" s="249"/>
      <c r="M159" s="249"/>
    </row>
    <row r="160" spans="3:13">
      <c r="C160" s="249"/>
      <c r="D160" s="249"/>
      <c r="E160" s="249"/>
      <c r="F160" s="249"/>
      <c r="G160" s="249"/>
      <c r="H160" s="249"/>
      <c r="I160" s="249"/>
      <c r="J160" s="249"/>
      <c r="K160" s="249"/>
      <c r="L160" s="249"/>
      <c r="M160" s="249"/>
    </row>
    <row r="161" spans="3:13">
      <c r="C161" s="249"/>
      <c r="D161" s="249"/>
      <c r="E161" s="249"/>
      <c r="F161" s="249"/>
      <c r="G161" s="249"/>
      <c r="H161" s="249"/>
      <c r="I161" s="249"/>
      <c r="J161" s="249"/>
      <c r="K161" s="249"/>
      <c r="L161" s="249"/>
      <c r="M161" s="249"/>
    </row>
    <row r="162" spans="3:13">
      <c r="C162" s="249"/>
      <c r="D162" s="249"/>
      <c r="E162" s="249"/>
      <c r="F162" s="249"/>
      <c r="G162" s="249"/>
      <c r="H162" s="249"/>
      <c r="I162" s="249"/>
      <c r="J162" s="249"/>
      <c r="K162" s="249"/>
      <c r="L162" s="249"/>
      <c r="M162" s="249"/>
    </row>
    <row r="163" spans="3:13">
      <c r="C163" s="249"/>
      <c r="D163" s="249"/>
      <c r="E163" s="249"/>
      <c r="F163" s="249"/>
      <c r="G163" s="249"/>
      <c r="H163" s="249"/>
      <c r="I163" s="249"/>
      <c r="J163" s="249"/>
      <c r="K163" s="249"/>
      <c r="L163" s="249"/>
      <c r="M163" s="249"/>
    </row>
    <row r="164" spans="3:13">
      <c r="C164" s="249"/>
      <c r="D164" s="249"/>
      <c r="E164" s="249"/>
      <c r="F164" s="249"/>
      <c r="G164" s="249"/>
      <c r="H164" s="249"/>
      <c r="I164" s="249"/>
      <c r="J164" s="249"/>
      <c r="K164" s="249"/>
      <c r="L164" s="249"/>
      <c r="M164" s="249"/>
    </row>
  </sheetData>
  <mergeCells count="15">
    <mergeCell ref="M6:M7"/>
    <mergeCell ref="A4:M4"/>
    <mergeCell ref="A1:C1"/>
    <mergeCell ref="A2:C2"/>
    <mergeCell ref="K1:M1"/>
    <mergeCell ref="K5:M5"/>
    <mergeCell ref="J6:L6"/>
    <mergeCell ref="A6:A7"/>
    <mergeCell ref="B6:B7"/>
    <mergeCell ref="C6:C7"/>
    <mergeCell ref="D6:D7"/>
    <mergeCell ref="E6:E7"/>
    <mergeCell ref="H6:H7"/>
    <mergeCell ref="I6:I7"/>
    <mergeCell ref="F6:G6"/>
  </mergeCells>
  <pageMargins left="0.2" right="0.2" top="0.25" bottom="0.25" header="0.3" footer="0.3"/>
  <pageSetup paperSize="9" scale="78" orientation="landscape" verticalDpi="0" r:id="rId1"/>
  <drawing r:id="rId2"/>
</worksheet>
</file>

<file path=xl/worksheets/sheet9.xml><?xml version="1.0" encoding="utf-8"?>
<worksheet xmlns="http://schemas.openxmlformats.org/spreadsheetml/2006/main" xmlns:r="http://schemas.openxmlformats.org/officeDocument/2006/relationships">
  <sheetPr>
    <tabColor rgb="FF00B0F0"/>
  </sheetPr>
  <dimension ref="A1:J57"/>
  <sheetViews>
    <sheetView topLeftCell="A7" workbookViewId="0">
      <selection activeCell="E7" sqref="E7:E8"/>
    </sheetView>
  </sheetViews>
  <sheetFormatPr defaultRowHeight="18.75"/>
  <cols>
    <col min="1" max="1" width="6.75" style="941" customWidth="1"/>
    <col min="2" max="2" width="28.625" style="941" customWidth="1"/>
    <col min="3" max="3" width="13.375" style="941" customWidth="1"/>
    <col min="4" max="4" width="11.625" style="941" customWidth="1"/>
    <col min="5" max="5" width="10.625" style="941" customWidth="1"/>
    <col min="6" max="9" width="10.125" style="941" customWidth="1"/>
    <col min="10" max="10" width="10.375" style="941" customWidth="1"/>
    <col min="11" max="16384" width="9" style="941"/>
  </cols>
  <sheetData>
    <row r="1" spans="1:10">
      <c r="A1" s="1072" t="s">
        <v>1731</v>
      </c>
      <c r="B1" s="1072"/>
      <c r="C1" s="1072"/>
      <c r="E1" s="1073" t="s">
        <v>1833</v>
      </c>
      <c r="F1" s="1073"/>
      <c r="G1" s="1073"/>
      <c r="H1" s="1073"/>
      <c r="I1" s="1073"/>
      <c r="J1" s="1073"/>
    </row>
    <row r="2" spans="1:10">
      <c r="A2" s="1072" t="s">
        <v>668</v>
      </c>
      <c r="B2" s="1072"/>
      <c r="C2" s="1072"/>
    </row>
    <row r="4" spans="1:10" ht="48" customHeight="1">
      <c r="A4" s="1080" t="s">
        <v>1824</v>
      </c>
      <c r="B4" s="1081"/>
      <c r="C4" s="1081"/>
      <c r="D4" s="1081"/>
      <c r="E4" s="1081"/>
      <c r="F4" s="1081"/>
      <c r="G4" s="1081"/>
      <c r="H4" s="1081"/>
      <c r="I4" s="1081"/>
      <c r="J4" s="1081"/>
    </row>
    <row r="5" spans="1:10">
      <c r="E5" s="1074" t="s">
        <v>808</v>
      </c>
      <c r="F5" s="1074"/>
      <c r="G5" s="1074"/>
      <c r="H5" s="1074"/>
      <c r="I5" s="1074"/>
      <c r="J5" s="1074"/>
    </row>
    <row r="6" spans="1:10" ht="24" customHeight="1">
      <c r="A6" s="1076" t="s">
        <v>1684</v>
      </c>
      <c r="B6" s="1076" t="s">
        <v>421</v>
      </c>
      <c r="C6" s="1076" t="s">
        <v>306</v>
      </c>
      <c r="D6" s="1075" t="s">
        <v>709</v>
      </c>
      <c r="E6" s="1075"/>
      <c r="F6" s="1075"/>
      <c r="G6" s="1075"/>
      <c r="H6" s="1075"/>
      <c r="I6" s="1075"/>
      <c r="J6" s="1075"/>
    </row>
    <row r="7" spans="1:10" ht="41.25" customHeight="1">
      <c r="A7" s="1076"/>
      <c r="B7" s="1076"/>
      <c r="C7" s="1076"/>
      <c r="D7" s="1075" t="s">
        <v>1732</v>
      </c>
      <c r="E7" s="1075" t="s">
        <v>1825</v>
      </c>
      <c r="F7" s="1069" t="s">
        <v>1826</v>
      </c>
      <c r="G7" s="1069" t="s">
        <v>1827</v>
      </c>
      <c r="H7" s="1069" t="s">
        <v>1828</v>
      </c>
      <c r="I7" s="1069" t="s">
        <v>1829</v>
      </c>
      <c r="J7" s="1075" t="s">
        <v>1679</v>
      </c>
    </row>
    <row r="8" spans="1:10" ht="75" customHeight="1">
      <c r="A8" s="1076"/>
      <c r="B8" s="1076"/>
      <c r="C8" s="1076"/>
      <c r="D8" s="1075"/>
      <c r="E8" s="1075"/>
      <c r="F8" s="1079"/>
      <c r="G8" s="1079"/>
      <c r="H8" s="1079"/>
      <c r="I8" s="1079"/>
      <c r="J8" s="1075"/>
    </row>
    <row r="9" spans="1:10" ht="24" customHeight="1">
      <c r="A9" s="964" t="s">
        <v>78</v>
      </c>
      <c r="B9" s="964" t="s">
        <v>79</v>
      </c>
      <c r="C9" s="1013" t="s">
        <v>1830</v>
      </c>
      <c r="D9" s="1013">
        <v>2</v>
      </c>
      <c r="E9" s="1013">
        <v>3</v>
      </c>
      <c r="F9" s="1013">
        <v>4</v>
      </c>
      <c r="G9" s="1013">
        <v>5</v>
      </c>
      <c r="H9" s="1013">
        <v>6</v>
      </c>
      <c r="I9" s="1013">
        <v>7</v>
      </c>
      <c r="J9" s="1013">
        <v>8</v>
      </c>
    </row>
    <row r="10" spans="1:10" ht="93" customHeight="1">
      <c r="A10" s="963"/>
      <c r="B10" s="963" t="s">
        <v>306</v>
      </c>
      <c r="C10" s="965">
        <f>SUM(D10:J10)</f>
        <v>22600000</v>
      </c>
      <c r="D10" s="971">
        <v>18724000</v>
      </c>
      <c r="E10" s="971">
        <v>517000</v>
      </c>
      <c r="F10" s="971">
        <v>198000</v>
      </c>
      <c r="G10" s="971">
        <v>1000000</v>
      </c>
      <c r="H10" s="971">
        <v>400000</v>
      </c>
      <c r="I10" s="971">
        <v>111000</v>
      </c>
      <c r="J10" s="971">
        <v>1650000</v>
      </c>
    </row>
    <row r="11" spans="1:10">
      <c r="C11" s="249"/>
      <c r="D11" s="249"/>
      <c r="E11" s="249"/>
      <c r="F11" s="249"/>
      <c r="G11" s="249"/>
      <c r="H11" s="249"/>
      <c r="I11" s="249"/>
      <c r="J11" s="249"/>
    </row>
    <row r="12" spans="1:10">
      <c r="C12" s="249"/>
      <c r="D12" s="249"/>
      <c r="E12" s="249"/>
      <c r="F12" s="249"/>
      <c r="G12" s="249"/>
      <c r="H12" s="249"/>
      <c r="I12" s="249"/>
      <c r="J12" s="249"/>
    </row>
    <row r="13" spans="1:10">
      <c r="C13" s="249"/>
      <c r="D13" s="249"/>
      <c r="E13" s="249"/>
      <c r="F13" s="249"/>
      <c r="G13" s="249"/>
      <c r="H13" s="249"/>
      <c r="I13" s="249"/>
      <c r="J13" s="249"/>
    </row>
    <row r="14" spans="1:10">
      <c r="C14" s="249"/>
      <c r="D14" s="249"/>
      <c r="E14" s="249"/>
      <c r="F14" s="249"/>
      <c r="G14" s="249"/>
      <c r="H14" s="249"/>
      <c r="I14" s="249"/>
      <c r="J14" s="249"/>
    </row>
    <row r="15" spans="1:10">
      <c r="C15" s="249"/>
      <c r="D15" s="249"/>
      <c r="E15" s="249"/>
      <c r="F15" s="249"/>
      <c r="G15" s="249"/>
      <c r="H15" s="249"/>
      <c r="I15" s="249"/>
      <c r="J15" s="249"/>
    </row>
    <row r="16" spans="1:10">
      <c r="C16" s="249"/>
      <c r="D16" s="249"/>
      <c r="E16" s="249"/>
      <c r="F16" s="249"/>
      <c r="G16" s="249"/>
      <c r="H16" s="249"/>
      <c r="I16" s="249"/>
      <c r="J16" s="249"/>
    </row>
    <row r="17" spans="3:10">
      <c r="C17" s="249"/>
      <c r="D17" s="249"/>
      <c r="E17" s="249"/>
      <c r="F17" s="249"/>
      <c r="G17" s="249"/>
      <c r="H17" s="249"/>
      <c r="I17" s="249"/>
      <c r="J17" s="249"/>
    </row>
    <row r="18" spans="3:10">
      <c r="C18" s="249"/>
      <c r="D18" s="249"/>
      <c r="E18" s="249"/>
      <c r="F18" s="249"/>
      <c r="G18" s="249"/>
      <c r="H18" s="249"/>
      <c r="I18" s="249"/>
      <c r="J18" s="249"/>
    </row>
    <row r="19" spans="3:10">
      <c r="C19" s="249"/>
      <c r="D19" s="249"/>
      <c r="E19" s="249"/>
      <c r="F19" s="249"/>
      <c r="G19" s="249"/>
      <c r="H19" s="249"/>
      <c r="I19" s="249"/>
      <c r="J19" s="249"/>
    </row>
    <row r="20" spans="3:10">
      <c r="C20" s="249"/>
      <c r="D20" s="249"/>
      <c r="E20" s="249"/>
      <c r="F20" s="249"/>
      <c r="G20" s="249"/>
      <c r="H20" s="249"/>
      <c r="I20" s="249"/>
      <c r="J20" s="249"/>
    </row>
    <row r="21" spans="3:10">
      <c r="C21" s="249"/>
      <c r="D21" s="249"/>
      <c r="E21" s="249"/>
      <c r="F21" s="249"/>
      <c r="G21" s="249"/>
      <c r="H21" s="249"/>
      <c r="I21" s="249"/>
      <c r="J21" s="249"/>
    </row>
    <row r="22" spans="3:10">
      <c r="C22" s="249"/>
      <c r="D22" s="249"/>
      <c r="E22" s="249"/>
      <c r="F22" s="249"/>
      <c r="G22" s="249"/>
      <c r="H22" s="249"/>
      <c r="I22" s="249"/>
      <c r="J22" s="249"/>
    </row>
    <row r="23" spans="3:10">
      <c r="C23" s="249"/>
      <c r="D23" s="249"/>
      <c r="E23" s="249"/>
      <c r="F23" s="249"/>
      <c r="G23" s="249"/>
      <c r="H23" s="249"/>
      <c r="I23" s="249"/>
      <c r="J23" s="249"/>
    </row>
    <row r="24" spans="3:10">
      <c r="C24" s="249"/>
      <c r="D24" s="249"/>
      <c r="E24" s="249"/>
      <c r="F24" s="249"/>
      <c r="G24" s="249"/>
      <c r="H24" s="249"/>
      <c r="I24" s="249"/>
      <c r="J24" s="249"/>
    </row>
    <row r="25" spans="3:10">
      <c r="C25" s="249"/>
      <c r="D25" s="249"/>
      <c r="E25" s="249"/>
      <c r="F25" s="249"/>
      <c r="G25" s="249"/>
      <c r="H25" s="249"/>
      <c r="I25" s="249"/>
      <c r="J25" s="249"/>
    </row>
    <row r="26" spans="3:10">
      <c r="C26" s="249"/>
      <c r="D26" s="249"/>
      <c r="E26" s="249"/>
      <c r="F26" s="249"/>
      <c r="G26" s="249"/>
      <c r="H26" s="249"/>
      <c r="I26" s="249"/>
      <c r="J26" s="249"/>
    </row>
    <row r="27" spans="3:10">
      <c r="C27" s="249"/>
      <c r="D27" s="249"/>
      <c r="E27" s="249"/>
      <c r="F27" s="249"/>
      <c r="G27" s="249"/>
      <c r="H27" s="249"/>
      <c r="I27" s="249"/>
      <c r="J27" s="249"/>
    </row>
    <row r="28" spans="3:10">
      <c r="C28" s="249"/>
      <c r="D28" s="249"/>
      <c r="E28" s="249"/>
      <c r="F28" s="249"/>
      <c r="G28" s="249"/>
      <c r="H28" s="249"/>
      <c r="I28" s="249"/>
      <c r="J28" s="249"/>
    </row>
    <row r="29" spans="3:10">
      <c r="C29" s="249"/>
      <c r="D29" s="249"/>
      <c r="E29" s="249"/>
      <c r="F29" s="249"/>
      <c r="G29" s="249"/>
      <c r="H29" s="249"/>
      <c r="I29" s="249"/>
      <c r="J29" s="249"/>
    </row>
    <row r="30" spans="3:10">
      <c r="C30" s="249"/>
      <c r="D30" s="249"/>
      <c r="E30" s="249"/>
      <c r="F30" s="249"/>
      <c r="G30" s="249"/>
      <c r="H30" s="249"/>
      <c r="I30" s="249"/>
      <c r="J30" s="249"/>
    </row>
    <row r="31" spans="3:10">
      <c r="C31" s="249"/>
      <c r="D31" s="249"/>
      <c r="E31" s="249"/>
      <c r="F31" s="249"/>
      <c r="G31" s="249"/>
      <c r="H31" s="249"/>
      <c r="I31" s="249"/>
      <c r="J31" s="249"/>
    </row>
    <row r="32" spans="3:10">
      <c r="C32" s="249"/>
      <c r="D32" s="249"/>
      <c r="E32" s="249"/>
      <c r="F32" s="249"/>
      <c r="G32" s="249"/>
      <c r="H32" s="249"/>
      <c r="I32" s="249"/>
      <c r="J32" s="249"/>
    </row>
    <row r="33" spans="3:10">
      <c r="C33" s="249"/>
      <c r="D33" s="249"/>
      <c r="E33" s="249"/>
      <c r="F33" s="249"/>
      <c r="G33" s="249"/>
      <c r="H33" s="249"/>
      <c r="I33" s="249"/>
      <c r="J33" s="249"/>
    </row>
    <row r="34" spans="3:10">
      <c r="C34" s="249"/>
      <c r="D34" s="249"/>
      <c r="E34" s="249"/>
      <c r="F34" s="249"/>
      <c r="G34" s="249"/>
      <c r="H34" s="249"/>
      <c r="I34" s="249"/>
      <c r="J34" s="249"/>
    </row>
    <row r="35" spans="3:10">
      <c r="C35" s="249"/>
      <c r="D35" s="249"/>
      <c r="E35" s="249"/>
      <c r="F35" s="249"/>
      <c r="G35" s="249"/>
      <c r="H35" s="249"/>
      <c r="I35" s="249"/>
      <c r="J35" s="249"/>
    </row>
    <row r="36" spans="3:10">
      <c r="C36" s="249"/>
      <c r="D36" s="249"/>
      <c r="E36" s="249"/>
      <c r="F36" s="249"/>
      <c r="G36" s="249"/>
      <c r="H36" s="249"/>
      <c r="I36" s="249"/>
      <c r="J36" s="249"/>
    </row>
    <row r="37" spans="3:10">
      <c r="C37" s="249"/>
      <c r="D37" s="249"/>
      <c r="E37" s="249"/>
      <c r="F37" s="249"/>
      <c r="G37" s="249"/>
      <c r="H37" s="249"/>
      <c r="I37" s="249"/>
      <c r="J37" s="249"/>
    </row>
    <row r="38" spans="3:10">
      <c r="C38" s="249"/>
      <c r="D38" s="249"/>
      <c r="E38" s="249"/>
      <c r="F38" s="249"/>
      <c r="G38" s="249"/>
      <c r="H38" s="249"/>
      <c r="I38" s="249"/>
      <c r="J38" s="249"/>
    </row>
    <row r="39" spans="3:10">
      <c r="C39" s="249"/>
      <c r="D39" s="249"/>
      <c r="E39" s="249"/>
      <c r="F39" s="249"/>
      <c r="G39" s="249"/>
      <c r="H39" s="249"/>
      <c r="I39" s="249"/>
      <c r="J39" s="249"/>
    </row>
    <row r="40" spans="3:10">
      <c r="C40" s="249"/>
      <c r="D40" s="249"/>
      <c r="E40" s="249"/>
      <c r="F40" s="249"/>
      <c r="G40" s="249"/>
      <c r="H40" s="249"/>
      <c r="I40" s="249"/>
      <c r="J40" s="249"/>
    </row>
    <row r="41" spans="3:10">
      <c r="C41" s="249"/>
      <c r="D41" s="249"/>
      <c r="E41" s="249"/>
      <c r="F41" s="249"/>
      <c r="G41" s="249"/>
      <c r="H41" s="249"/>
      <c r="I41" s="249"/>
      <c r="J41" s="249"/>
    </row>
    <row r="42" spans="3:10">
      <c r="C42" s="249"/>
      <c r="D42" s="249"/>
      <c r="E42" s="249"/>
      <c r="F42" s="249"/>
      <c r="G42" s="249"/>
      <c r="H42" s="249"/>
      <c r="I42" s="249"/>
      <c r="J42" s="249"/>
    </row>
    <row r="43" spans="3:10">
      <c r="C43" s="249"/>
      <c r="D43" s="249"/>
      <c r="E43" s="249"/>
      <c r="F43" s="249"/>
      <c r="G43" s="249"/>
      <c r="H43" s="249"/>
      <c r="I43" s="249"/>
      <c r="J43" s="249"/>
    </row>
    <row r="44" spans="3:10">
      <c r="C44" s="249"/>
      <c r="D44" s="249"/>
      <c r="E44" s="249"/>
      <c r="F44" s="249"/>
      <c r="G44" s="249"/>
      <c r="H44" s="249"/>
      <c r="I44" s="249"/>
      <c r="J44" s="249"/>
    </row>
    <row r="45" spans="3:10">
      <c r="C45" s="249"/>
      <c r="D45" s="249"/>
      <c r="E45" s="249"/>
      <c r="F45" s="249"/>
      <c r="G45" s="249"/>
      <c r="H45" s="249"/>
      <c r="I45" s="249"/>
      <c r="J45" s="249"/>
    </row>
    <row r="46" spans="3:10">
      <c r="C46" s="249"/>
      <c r="D46" s="249"/>
      <c r="E46" s="249"/>
      <c r="F46" s="249"/>
      <c r="G46" s="249"/>
      <c r="H46" s="249"/>
      <c r="I46" s="249"/>
      <c r="J46" s="249"/>
    </row>
    <row r="47" spans="3:10">
      <c r="C47" s="249"/>
      <c r="D47" s="249"/>
      <c r="E47" s="249"/>
      <c r="F47" s="249"/>
      <c r="G47" s="249"/>
      <c r="H47" s="249"/>
      <c r="I47" s="249"/>
      <c r="J47" s="249"/>
    </row>
    <row r="48" spans="3:10">
      <c r="C48" s="249"/>
      <c r="D48" s="249"/>
      <c r="E48" s="249"/>
      <c r="F48" s="249"/>
      <c r="G48" s="249"/>
      <c r="H48" s="249"/>
      <c r="I48" s="249"/>
      <c r="J48" s="249"/>
    </row>
    <row r="49" spans="3:10">
      <c r="C49" s="249"/>
      <c r="D49" s="249"/>
      <c r="E49" s="249"/>
      <c r="F49" s="249"/>
      <c r="G49" s="249"/>
      <c r="H49" s="249"/>
      <c r="I49" s="249"/>
      <c r="J49" s="249"/>
    </row>
    <row r="50" spans="3:10">
      <c r="C50" s="249"/>
      <c r="D50" s="249"/>
      <c r="E50" s="249"/>
      <c r="F50" s="249"/>
      <c r="G50" s="249"/>
      <c r="H50" s="249"/>
      <c r="I50" s="249"/>
      <c r="J50" s="249"/>
    </row>
    <row r="51" spans="3:10">
      <c r="C51" s="249"/>
      <c r="D51" s="249"/>
      <c r="E51" s="249"/>
      <c r="F51" s="249"/>
      <c r="G51" s="249"/>
      <c r="H51" s="249"/>
      <c r="I51" s="249"/>
      <c r="J51" s="249"/>
    </row>
    <row r="52" spans="3:10">
      <c r="C52" s="249"/>
      <c r="D52" s="249"/>
      <c r="E52" s="249"/>
      <c r="F52" s="249"/>
      <c r="G52" s="249"/>
      <c r="H52" s="249"/>
      <c r="I52" s="249"/>
      <c r="J52" s="249"/>
    </row>
    <row r="53" spans="3:10">
      <c r="C53" s="249"/>
      <c r="D53" s="249"/>
      <c r="E53" s="249"/>
      <c r="F53" s="249"/>
      <c r="G53" s="249"/>
      <c r="H53" s="249"/>
      <c r="I53" s="249"/>
      <c r="J53" s="249"/>
    </row>
    <row r="54" spans="3:10">
      <c r="C54" s="249"/>
      <c r="D54" s="249"/>
      <c r="E54" s="249"/>
      <c r="F54" s="249"/>
      <c r="G54" s="249"/>
      <c r="H54" s="249"/>
      <c r="I54" s="249"/>
      <c r="J54" s="249"/>
    </row>
    <row r="55" spans="3:10">
      <c r="C55" s="249"/>
      <c r="D55" s="249"/>
      <c r="E55" s="249"/>
      <c r="F55" s="249"/>
      <c r="G55" s="249"/>
      <c r="H55" s="249"/>
      <c r="I55" s="249"/>
      <c r="J55" s="249"/>
    </row>
    <row r="56" spans="3:10">
      <c r="C56" s="249"/>
      <c r="D56" s="249"/>
      <c r="E56" s="249"/>
      <c r="F56" s="249"/>
      <c r="G56" s="249"/>
      <c r="H56" s="249"/>
      <c r="I56" s="249"/>
      <c r="J56" s="249"/>
    </row>
    <row r="57" spans="3:10">
      <c r="C57" s="249"/>
      <c r="D57" s="249"/>
      <c r="E57" s="249"/>
      <c r="F57" s="249"/>
      <c r="G57" s="249"/>
      <c r="H57" s="249"/>
      <c r="I57" s="249"/>
      <c r="J57" s="249"/>
    </row>
  </sheetData>
  <mergeCells count="16">
    <mergeCell ref="I7:I8"/>
    <mergeCell ref="A1:C1"/>
    <mergeCell ref="A2:C2"/>
    <mergeCell ref="A4:J4"/>
    <mergeCell ref="A6:A8"/>
    <mergeCell ref="B6:B8"/>
    <mergeCell ref="C6:C8"/>
    <mergeCell ref="E5:J5"/>
    <mergeCell ref="J7:J8"/>
    <mergeCell ref="D6:J6"/>
    <mergeCell ref="E1:J1"/>
    <mergeCell ref="D7:D8"/>
    <mergeCell ref="E7:E8"/>
    <mergeCell ref="F7:F8"/>
    <mergeCell ref="G7:G8"/>
    <mergeCell ref="H7:H8"/>
  </mergeCells>
  <pageMargins left="0.45" right="0.45" top="0.25" bottom="0.25" header="0.3" footer="0.3"/>
  <pageSetup paperSize="9" orientation="landscape"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F76DD0EEA9EDF408EA9CAF807026CA8" ma:contentTypeVersion="0" ma:contentTypeDescription="Create a new document." ma:contentTypeScope="" ma:versionID="5d54f473c9d813755771dccec0babdf7">
  <xsd:schema xmlns:xsd="http://www.w3.org/2001/XMLSchema" xmlns:xs="http://www.w3.org/2001/XMLSchema" xmlns:p="http://schemas.microsoft.com/office/2006/metadata/properties" targetNamespace="http://schemas.microsoft.com/office/2006/metadata/properties" ma:root="true" ma:fieldsID="067e30616eeadeb776f014c5fbcfd81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DE94E11-A015-4970-A84B-F3643EC379C7}"/>
</file>

<file path=customXml/itemProps2.xml><?xml version="1.0" encoding="utf-8"?>
<ds:datastoreItem xmlns:ds="http://schemas.openxmlformats.org/officeDocument/2006/customXml" ds:itemID="{390F1678-C4BD-4DB8-B631-7814C571CE48}"/>
</file>

<file path=customXml/itemProps3.xml><?xml version="1.0" encoding="utf-8"?>
<ds:datastoreItem xmlns:ds="http://schemas.openxmlformats.org/officeDocument/2006/customXml" ds:itemID="{00B977BA-5047-490E-BE5F-6B7F685E958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vt:i4>
      </vt:variant>
    </vt:vector>
  </HeadingPairs>
  <TitlesOfParts>
    <vt:vector size="25" baseType="lpstr">
      <vt:lpstr>Biểu 01</vt:lpstr>
      <vt:lpstr>Biểu 02</vt:lpstr>
      <vt:lpstr>Bieu 03</vt:lpstr>
      <vt:lpstr>Thu 2019 được hưởng</vt:lpstr>
      <vt:lpstr>DTthu2020</vt:lpstr>
      <vt:lpstr>Biểu 04</vt:lpstr>
      <vt:lpstr>Biểu 05</vt:lpstr>
      <vt:lpstr>Biểu 06</vt:lpstr>
      <vt:lpstr>Biểu 07</vt:lpstr>
      <vt:lpstr>Biểu 08</vt:lpstr>
      <vt:lpstr>TH chi xa 2020</vt:lpstr>
      <vt:lpstr>Thu phương xa 2020</vt:lpstr>
      <vt:lpstr>Thu phường, xã 2019</vt:lpstr>
      <vt:lpstr>Số thu phường, xã đến T10-2019</vt:lpstr>
      <vt:lpstr>DT chi xã 2020</vt:lpstr>
      <vt:lpstr>DT chi xã 2019</vt:lpstr>
      <vt:lpstr>Bieu 30</vt:lpstr>
      <vt:lpstr>DTĐV 2020</vt:lpstr>
      <vt:lpstr>DTĐV 2019</vt:lpstr>
      <vt:lpstr>DG UTH chixa</vt:lpstr>
      <vt:lpstr>CAN TRO CAP</vt:lpstr>
      <vt:lpstr>Chi xa</vt:lpstr>
      <vt:lpstr>Sheet7</vt:lpstr>
      <vt:lpstr>'Biểu 04'!Print_Titles</vt:lpstr>
      <vt:lpstr>DTthu2020!Print_Titles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MR+KHANH</dc:creator>
  <cp:lastModifiedBy>Windows User</cp:lastModifiedBy>
  <cp:lastPrinted>2021-01-23T03:30:20Z</cp:lastPrinted>
  <dcterms:created xsi:type="dcterms:W3CDTF">2003-11-21T04:22:25Z</dcterms:created>
  <dcterms:modified xsi:type="dcterms:W3CDTF">2021-01-23T03:30:30Z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0x010100EF76DD0EEA9EDF408EA9CAF807026CA8</vt:lpwstr>
  </property>
</Properties>
</file>